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Filed Documents\"/>
    </mc:Choice>
  </mc:AlternateContent>
  <xr:revisionPtr revIDLastSave="0" documentId="8_{636AC650-DE7E-4952-9BD3-F139040F6047}" xr6:coauthVersionLast="47" xr6:coauthVersionMax="47" xr10:uidLastSave="{00000000-0000-0000-0000-000000000000}"/>
  <bookViews>
    <workbookView xWindow="52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6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K1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3" i="29"/>
  <c r="E26" i="29"/>
  <c r="H36" i="29"/>
  <c r="E33" i="29"/>
  <c r="G25" i="29"/>
  <c r="G31" i="29"/>
  <c r="H27" i="29"/>
  <c r="G36" i="29"/>
  <c r="H30" i="29"/>
  <c r="H28" i="29"/>
  <c r="E29" i="29"/>
  <c r="G26" i="29"/>
  <c r="E31" i="29"/>
  <c r="G29" i="29"/>
  <c r="H24" i="29"/>
  <c r="G33" i="29"/>
  <c r="G27" i="29"/>
  <c r="H37" i="29"/>
  <c r="E30" i="29"/>
  <c r="G30" i="29"/>
  <c r="G22" i="29"/>
  <c r="E24" i="29"/>
  <c r="D30" i="29"/>
  <c r="E22" i="29"/>
  <c r="H33" i="29"/>
  <c r="H29" i="29"/>
  <c r="E37" i="29"/>
  <c r="G21" i="29"/>
  <c r="H23" i="29"/>
  <c r="G37" i="29"/>
  <c r="D28" i="29"/>
  <c r="H25" i="29"/>
  <c r="E28" i="29"/>
  <c r="E27" i="29"/>
  <c r="E23" i="29"/>
  <c r="G23" i="29"/>
  <c r="H31" i="29"/>
  <c r="H21" i="29"/>
  <c r="E21" i="29"/>
  <c r="G35" i="29"/>
  <c r="H32" i="29"/>
  <c r="G28" i="29"/>
  <c r="E25" i="29"/>
  <c r="H35" i="29"/>
  <c r="H26" i="29"/>
  <c r="E35" i="29"/>
  <c r="H22" i="29"/>
  <c r="E36" i="29"/>
  <c r="G32" i="29"/>
  <c r="E32" i="29"/>
  <c r="G24" i="29"/>
  <c r="C49" i="18" l="1"/>
  <c r="C54" i="18"/>
  <c r="D53" i="18"/>
  <c r="D79" i="18"/>
  <c r="C63" i="18"/>
  <c r="C87" i="18" s="1"/>
  <c r="C99" i="18" s="1"/>
  <c r="C111" i="18" s="1"/>
  <c r="C123" i="18" s="1"/>
  <c r="C135" i="18" s="1"/>
  <c r="C147" i="18" s="1"/>
  <c r="C159" i="18" s="1"/>
  <c r="C183" i="18" s="1"/>
  <c r="C195" i="18" s="1"/>
  <c r="C207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6" i="18"/>
  <c r="D78" i="18" s="1"/>
  <c r="C64" i="18"/>
  <c r="C76" i="18" s="1"/>
  <c r="C56" i="18"/>
  <c r="C80" i="18" s="1"/>
  <c r="C92" i="18" s="1"/>
  <c r="C104" i="18" s="1"/>
  <c r="C116" i="18" s="1"/>
  <c r="C128" i="18" s="1"/>
  <c r="C140" i="18" s="1"/>
  <c r="C152" i="18" s="1"/>
  <c r="C176" i="18" s="1"/>
  <c r="C188" i="18" s="1"/>
  <c r="C200" i="18" s="1"/>
  <c r="D63" i="18"/>
  <c r="D87" i="18" s="1"/>
  <c r="D99" i="18" s="1"/>
  <c r="D111" i="18" s="1"/>
  <c r="D123" i="18" s="1"/>
  <c r="D135" i="18" s="1"/>
  <c r="D147" i="18" s="1"/>
  <c r="D159" i="18" s="1"/>
  <c r="D171" i="18" s="1"/>
  <c r="C53" i="18"/>
  <c r="D50" i="18"/>
  <c r="C73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74" i="18" s="1"/>
  <c r="C72" i="18"/>
  <c r="D46" i="18"/>
  <c r="D57" i="18"/>
  <c r="D81" i="18" s="1"/>
  <c r="D93" i="18" s="1"/>
  <c r="D105" i="18" s="1"/>
  <c r="D117" i="18" s="1"/>
  <c r="D129" i="18" s="1"/>
  <c r="D141" i="18" s="1"/>
  <c r="D153" i="18" s="1"/>
  <c r="O13" i="18"/>
  <c r="C67" i="18"/>
  <c r="C91" i="18" s="1"/>
  <c r="C103" i="18" s="1"/>
  <c r="C115" i="18" s="1"/>
  <c r="C127" i="18" s="1"/>
  <c r="C139" i="18" s="1"/>
  <c r="C151" i="18" s="1"/>
  <c r="C163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80" i="18" s="1"/>
  <c r="D92" i="18" s="1"/>
  <c r="D104" i="18" s="1"/>
  <c r="D116" i="18" s="1"/>
  <c r="D128" i="18" s="1"/>
  <c r="D140" i="18" s="1"/>
  <c r="D152" i="18" s="1"/>
  <c r="F30" i="29"/>
  <c r="I30" i="29" s="1"/>
  <c r="H34" i="29"/>
  <c r="G34" i="29"/>
  <c r="E34" i="29"/>
  <c r="H38" i="29"/>
  <c r="F28" i="29"/>
  <c r="I28" i="29" s="1"/>
  <c r="E38" i="29"/>
  <c r="G38" i="29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36" i="29"/>
  <c r="D21" i="29"/>
  <c r="D35" i="29"/>
  <c r="D29" i="29"/>
  <c r="D27" i="29"/>
  <c r="D25" i="29"/>
  <c r="D26" i="29"/>
  <c r="D31" i="29"/>
  <c r="D22" i="29"/>
  <c r="D33" i="29"/>
  <c r="D23" i="29"/>
  <c r="D37" i="29"/>
  <c r="D24" i="29"/>
  <c r="D32" i="29"/>
  <c r="C164" i="18" l="1"/>
  <c r="C79" i="18"/>
  <c r="D173" i="18"/>
  <c r="C68" i="18"/>
  <c r="C69" i="18"/>
  <c r="C171" i="18"/>
  <c r="F37" i="29"/>
  <c r="I37" i="29" s="1"/>
  <c r="F31" i="29"/>
  <c r="I31" i="29" s="1"/>
  <c r="F22" i="29"/>
  <c r="I22" i="29" s="1"/>
  <c r="F26" i="29"/>
  <c r="I26" i="29" s="1"/>
  <c r="F35" i="29"/>
  <c r="I35" i="29" s="1"/>
  <c r="D38" i="29"/>
  <c r="F24" i="29"/>
  <c r="I24" i="29" s="1"/>
  <c r="F21" i="29"/>
  <c r="I21" i="29" s="1"/>
  <c r="D34" i="29"/>
  <c r="F29" i="29"/>
  <c r="I29" i="29" s="1"/>
  <c r="F27" i="29"/>
  <c r="I27" i="29" s="1"/>
  <c r="F33" i="29"/>
  <c r="I33" i="29" s="1"/>
  <c r="F36" i="29"/>
  <c r="I36" i="29" s="1"/>
  <c r="F25" i="29"/>
  <c r="I25" i="29" s="1"/>
  <c r="F23" i="29"/>
  <c r="I23" i="29" s="1"/>
  <c r="F32" i="29"/>
  <c r="I32" i="29" s="1"/>
  <c r="C88" i="18"/>
  <c r="C100" i="18" s="1"/>
  <c r="C112" i="18" s="1"/>
  <c r="C124" i="18" s="1"/>
  <c r="C136" i="18" s="1"/>
  <c r="C148" i="18" s="1"/>
  <c r="C160" i="18" s="1"/>
  <c r="C172" i="18" s="1"/>
  <c r="C75" i="18"/>
  <c r="D69" i="18"/>
  <c r="D182" i="18"/>
  <c r="D194" i="18" s="1"/>
  <c r="D206" i="18" s="1"/>
  <c r="D90" i="18"/>
  <c r="D102" i="18" s="1"/>
  <c r="D114" i="18" s="1"/>
  <c r="D126" i="18" s="1"/>
  <c r="D138" i="18" s="1"/>
  <c r="D150" i="18" s="1"/>
  <c r="D162" i="18" s="1"/>
  <c r="D174" i="18" s="1"/>
  <c r="D183" i="18"/>
  <c r="D195" i="18" s="1"/>
  <c r="D207" i="18" s="1"/>
  <c r="C177" i="18"/>
  <c r="C189" i="18" s="1"/>
  <c r="C201" i="18" s="1"/>
  <c r="C186" i="18"/>
  <c r="C198" i="18" s="1"/>
  <c r="C210" i="18" s="1"/>
  <c r="D75" i="18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D68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D186" i="18" l="1"/>
  <c r="D198" i="18" s="1"/>
  <c r="D210" i="18" s="1"/>
  <c r="D39" i="29"/>
  <c r="C184" i="18"/>
  <c r="C196" i="18" s="1"/>
  <c r="C208" i="18" s="1"/>
  <c r="F38" i="29"/>
  <c r="F34" i="29"/>
  <c r="D168" i="18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F39" i="29" l="1"/>
  <c r="I39" i="29"/>
  <c r="G212" i="18" l="1"/>
  <c r="E11" i="29" l="1"/>
  <c r="H211" i="18" l="1"/>
  <c r="K211" i="18" s="1"/>
  <c r="H21" i="18"/>
  <c r="K21" i="18" s="1"/>
  <c r="H53" i="18"/>
  <c r="K53" i="18" s="1"/>
  <c r="H85" i="18"/>
  <c r="K85" i="18" s="1"/>
  <c r="H117" i="18"/>
  <c r="K117" i="18" s="1"/>
  <c r="H149" i="18"/>
  <c r="K149" i="18" s="1"/>
  <c r="H181" i="18"/>
  <c r="K181" i="18" s="1"/>
  <c r="H28" i="18"/>
  <c r="K28" i="18" s="1"/>
  <c r="H76" i="18"/>
  <c r="K76" i="18" s="1"/>
  <c r="H156" i="18"/>
  <c r="K156" i="18" s="1"/>
  <c r="H208" i="18"/>
  <c r="K208" i="18" s="1"/>
  <c r="H50" i="18"/>
  <c r="K50" i="18" s="1"/>
  <c r="H82" i="18"/>
  <c r="K82" i="18" s="1"/>
  <c r="H114" i="18"/>
  <c r="K114" i="18" s="1"/>
  <c r="H146" i="18"/>
  <c r="K146" i="18" s="1"/>
  <c r="H178" i="18"/>
  <c r="K178" i="18" s="1"/>
  <c r="H210" i="18"/>
  <c r="K210" i="18" s="1"/>
  <c r="H84" i="18"/>
  <c r="K84" i="18" s="1"/>
  <c r="H144" i="18"/>
  <c r="K144" i="18" s="1"/>
  <c r="H23" i="18"/>
  <c r="K23" i="18" s="1"/>
  <c r="H55" i="18"/>
  <c r="K55" i="18" s="1"/>
  <c r="H87" i="18"/>
  <c r="K87" i="18" s="1"/>
  <c r="H119" i="18"/>
  <c r="K119" i="18" s="1"/>
  <c r="H151" i="18"/>
  <c r="K151" i="18" s="1"/>
  <c r="H183" i="18"/>
  <c r="K183" i="18" s="1"/>
  <c r="H157" i="18"/>
  <c r="K157" i="18" s="1"/>
  <c r="H96" i="18"/>
  <c r="K96" i="18" s="1"/>
  <c r="H58" i="18"/>
  <c r="K58" i="18" s="1"/>
  <c r="H122" i="18"/>
  <c r="K122" i="18" s="1"/>
  <c r="H100" i="18"/>
  <c r="K100" i="18" s="1"/>
  <c r="H31" i="18"/>
  <c r="K31" i="18" s="1"/>
  <c r="H159" i="18"/>
  <c r="K159" i="18" s="1"/>
  <c r="H25" i="18"/>
  <c r="K25" i="18" s="1"/>
  <c r="H57" i="18"/>
  <c r="K57" i="18" s="1"/>
  <c r="H89" i="18"/>
  <c r="K89" i="18" s="1"/>
  <c r="H121" i="18"/>
  <c r="K121" i="18" s="1"/>
  <c r="H153" i="18"/>
  <c r="K153" i="18" s="1"/>
  <c r="H185" i="18"/>
  <c r="K185" i="18" s="1"/>
  <c r="H36" i="18"/>
  <c r="K36" i="18" s="1"/>
  <c r="H92" i="18"/>
  <c r="K92" i="18" s="1"/>
  <c r="H160" i="18"/>
  <c r="K160" i="18" s="1"/>
  <c r="H22" i="18"/>
  <c r="K22" i="18" s="1"/>
  <c r="H54" i="18"/>
  <c r="K54" i="18" s="1"/>
  <c r="H86" i="18"/>
  <c r="K86" i="18" s="1"/>
  <c r="H118" i="18"/>
  <c r="K118" i="18" s="1"/>
  <c r="H150" i="18"/>
  <c r="K150" i="18" s="1"/>
  <c r="H182" i="18"/>
  <c r="K182" i="18" s="1"/>
  <c r="H20" i="18"/>
  <c r="K20" i="18" s="1"/>
  <c r="H88" i="18"/>
  <c r="K88" i="18" s="1"/>
  <c r="H148" i="18"/>
  <c r="K148" i="18" s="1"/>
  <c r="H27" i="18"/>
  <c r="K27" i="18" s="1"/>
  <c r="H59" i="18"/>
  <c r="K59" i="18" s="1"/>
  <c r="H91" i="18"/>
  <c r="K91" i="18" s="1"/>
  <c r="H123" i="18"/>
  <c r="K123" i="18" s="1"/>
  <c r="H155" i="18"/>
  <c r="K155" i="18" s="1"/>
  <c r="H187" i="18"/>
  <c r="K187" i="18" s="1"/>
  <c r="H125" i="18"/>
  <c r="K125" i="18" s="1"/>
  <c r="H168" i="18"/>
  <c r="K168" i="18" s="1"/>
  <c r="H90" i="18"/>
  <c r="K90" i="18" s="1"/>
  <c r="H154" i="18"/>
  <c r="K154" i="18" s="1"/>
  <c r="H24" i="18"/>
  <c r="K24" i="18" s="1"/>
  <c r="H152" i="18"/>
  <c r="K152" i="18" s="1"/>
  <c r="H63" i="18"/>
  <c r="K63" i="18" s="1"/>
  <c r="H29" i="18"/>
  <c r="K29" i="18" s="1"/>
  <c r="H61" i="18"/>
  <c r="K61" i="18" s="1"/>
  <c r="H93" i="18"/>
  <c r="K93" i="18" s="1"/>
  <c r="H189" i="18"/>
  <c r="K189" i="18" s="1"/>
  <c r="H44" i="18"/>
  <c r="K44" i="18" s="1"/>
  <c r="H26" i="18"/>
  <c r="K26" i="18" s="1"/>
  <c r="H186" i="18"/>
  <c r="K186" i="18" s="1"/>
  <c r="H33" i="18"/>
  <c r="K33" i="18" s="1"/>
  <c r="H65" i="18"/>
  <c r="K65" i="18" s="1"/>
  <c r="H97" i="18"/>
  <c r="K97" i="18" s="1"/>
  <c r="H129" i="18"/>
  <c r="K129" i="18" s="1"/>
  <c r="H161" i="18"/>
  <c r="K161" i="18" s="1"/>
  <c r="H193" i="18"/>
  <c r="K193" i="18" s="1"/>
  <c r="H52" i="18"/>
  <c r="K52" i="18" s="1"/>
  <c r="H108" i="18"/>
  <c r="K108" i="18" s="1"/>
  <c r="H180" i="18"/>
  <c r="K180" i="18" s="1"/>
  <c r="H30" i="18"/>
  <c r="K30" i="18" s="1"/>
  <c r="H62" i="18"/>
  <c r="K62" i="18" s="1"/>
  <c r="H94" i="18"/>
  <c r="K94" i="18" s="1"/>
  <c r="H126" i="18"/>
  <c r="K126" i="18" s="1"/>
  <c r="H158" i="18"/>
  <c r="K158" i="18" s="1"/>
  <c r="H190" i="18"/>
  <c r="K190" i="18" s="1"/>
  <c r="H32" i="18"/>
  <c r="K32" i="18" s="1"/>
  <c r="H104" i="18"/>
  <c r="K104" i="18" s="1"/>
  <c r="H164" i="18"/>
  <c r="K164" i="18" s="1"/>
  <c r="H35" i="18"/>
  <c r="K35" i="18" s="1"/>
  <c r="H67" i="18"/>
  <c r="K67" i="18" s="1"/>
  <c r="H99" i="18"/>
  <c r="K99" i="18" s="1"/>
  <c r="H131" i="18"/>
  <c r="K131" i="18" s="1"/>
  <c r="H163" i="18"/>
  <c r="K163" i="18" s="1"/>
  <c r="H195" i="18"/>
  <c r="K195" i="18" s="1"/>
  <c r="H39" i="18"/>
  <c r="K39" i="18" s="1"/>
  <c r="H103" i="18"/>
  <c r="K103" i="18" s="1"/>
  <c r="H167" i="18"/>
  <c r="K167" i="18" s="1"/>
  <c r="H203" i="18"/>
  <c r="K203" i="18" s="1"/>
  <c r="H81" i="18"/>
  <c r="K81" i="18" s="1"/>
  <c r="H177" i="18"/>
  <c r="K177" i="18" s="1"/>
  <c r="H200" i="18"/>
  <c r="K200" i="18" s="1"/>
  <c r="H142" i="18"/>
  <c r="K142" i="18" s="1"/>
  <c r="H204" i="18"/>
  <c r="K204" i="18" s="1"/>
  <c r="H179" i="18"/>
  <c r="K179" i="18" s="1"/>
  <c r="H37" i="18"/>
  <c r="K37" i="18" s="1"/>
  <c r="H69" i="18"/>
  <c r="K69" i="18" s="1"/>
  <c r="H101" i="18"/>
  <c r="K101" i="18" s="1"/>
  <c r="H133" i="18"/>
  <c r="K133" i="18" s="1"/>
  <c r="H165" i="18"/>
  <c r="K165" i="18" s="1"/>
  <c r="H197" i="18"/>
  <c r="K197" i="18" s="1"/>
  <c r="H56" i="18"/>
  <c r="K56" i="18" s="1"/>
  <c r="H116" i="18"/>
  <c r="K116" i="18" s="1"/>
  <c r="H184" i="18"/>
  <c r="K184" i="18" s="1"/>
  <c r="H34" i="18"/>
  <c r="K34" i="18" s="1"/>
  <c r="H66" i="18"/>
  <c r="K66" i="18" s="1"/>
  <c r="H98" i="18"/>
  <c r="K98" i="18" s="1"/>
  <c r="H130" i="18"/>
  <c r="K130" i="18" s="1"/>
  <c r="H162" i="18"/>
  <c r="K162" i="18" s="1"/>
  <c r="H194" i="18"/>
  <c r="K194" i="18" s="1"/>
  <c r="H40" i="18"/>
  <c r="K40" i="18" s="1"/>
  <c r="H112" i="18"/>
  <c r="K112" i="18" s="1"/>
  <c r="H172" i="18"/>
  <c r="K172" i="18" s="1"/>
  <c r="H71" i="18"/>
  <c r="K71" i="18" s="1"/>
  <c r="H135" i="18"/>
  <c r="K135" i="18" s="1"/>
  <c r="H199" i="18"/>
  <c r="K199" i="18" s="1"/>
  <c r="H113" i="18"/>
  <c r="K113" i="18" s="1"/>
  <c r="H136" i="18"/>
  <c r="K136" i="18" s="1"/>
  <c r="H110" i="18"/>
  <c r="K110" i="18" s="1"/>
  <c r="H80" i="18"/>
  <c r="K80" i="18" s="1"/>
  <c r="H83" i="18"/>
  <c r="K83" i="18" s="1"/>
  <c r="H127" i="18"/>
  <c r="K127" i="18" s="1"/>
  <c r="H41" i="18"/>
  <c r="K41" i="18" s="1"/>
  <c r="H73" i="18"/>
  <c r="K73" i="18" s="1"/>
  <c r="H105" i="18"/>
  <c r="K105" i="18" s="1"/>
  <c r="H137" i="18"/>
  <c r="K137" i="18" s="1"/>
  <c r="H169" i="18"/>
  <c r="K169" i="18" s="1"/>
  <c r="H201" i="18"/>
  <c r="K201" i="18" s="1"/>
  <c r="H60" i="18"/>
  <c r="K60" i="18" s="1"/>
  <c r="H124" i="18"/>
  <c r="K124" i="18" s="1"/>
  <c r="H192" i="18"/>
  <c r="K192" i="18" s="1"/>
  <c r="H38" i="18"/>
  <c r="K38" i="18" s="1"/>
  <c r="H70" i="18"/>
  <c r="K70" i="18" s="1"/>
  <c r="H102" i="18"/>
  <c r="K102" i="18" s="1"/>
  <c r="H134" i="18"/>
  <c r="K134" i="18" s="1"/>
  <c r="H166" i="18"/>
  <c r="K166" i="18" s="1"/>
  <c r="H198" i="18"/>
  <c r="K198" i="18" s="1"/>
  <c r="H48" i="18"/>
  <c r="K48" i="18" s="1"/>
  <c r="H120" i="18"/>
  <c r="K120" i="18" s="1"/>
  <c r="H176" i="18"/>
  <c r="K176" i="18" s="1"/>
  <c r="H43" i="18"/>
  <c r="K43" i="18" s="1"/>
  <c r="H75" i="18"/>
  <c r="K75" i="18" s="1"/>
  <c r="H107" i="18"/>
  <c r="K107" i="18" s="1"/>
  <c r="H139" i="18"/>
  <c r="K139" i="18" s="1"/>
  <c r="H171" i="18"/>
  <c r="K171" i="18" s="1"/>
  <c r="H145" i="18"/>
  <c r="K145" i="18" s="1"/>
  <c r="H72" i="18"/>
  <c r="K72" i="18" s="1"/>
  <c r="H78" i="18"/>
  <c r="K78" i="18" s="1"/>
  <c r="H174" i="18"/>
  <c r="K174" i="18" s="1"/>
  <c r="H140" i="18"/>
  <c r="K140" i="18" s="1"/>
  <c r="H115" i="18"/>
  <c r="K115" i="18" s="1"/>
  <c r="H95" i="18"/>
  <c r="K95" i="18" s="1"/>
  <c r="H45" i="18"/>
  <c r="K45" i="18" s="1"/>
  <c r="H77" i="18"/>
  <c r="K77" i="18" s="1"/>
  <c r="H109" i="18"/>
  <c r="K109" i="18" s="1"/>
  <c r="H141" i="18"/>
  <c r="K141" i="18" s="1"/>
  <c r="H173" i="18"/>
  <c r="K173" i="18" s="1"/>
  <c r="H205" i="18"/>
  <c r="K205" i="18" s="1"/>
  <c r="H64" i="18"/>
  <c r="K64" i="18" s="1"/>
  <c r="H128" i="18"/>
  <c r="K128" i="18" s="1"/>
  <c r="H196" i="18"/>
  <c r="K196" i="18" s="1"/>
  <c r="H42" i="18"/>
  <c r="K42" i="18" s="1"/>
  <c r="H74" i="18"/>
  <c r="K74" i="18" s="1"/>
  <c r="H106" i="18"/>
  <c r="K106" i="18" s="1"/>
  <c r="H138" i="18"/>
  <c r="K138" i="18" s="1"/>
  <c r="H170" i="18"/>
  <c r="K170" i="18" s="1"/>
  <c r="H202" i="18"/>
  <c r="K202" i="18" s="1"/>
  <c r="H68" i="18"/>
  <c r="K68" i="18" s="1"/>
  <c r="H132" i="18"/>
  <c r="K132" i="18" s="1"/>
  <c r="H188" i="18"/>
  <c r="K188" i="18" s="1"/>
  <c r="H47" i="18"/>
  <c r="K47" i="18" s="1"/>
  <c r="H79" i="18"/>
  <c r="K79" i="18" s="1"/>
  <c r="H111" i="18"/>
  <c r="K111" i="18" s="1"/>
  <c r="H143" i="18"/>
  <c r="K143" i="18" s="1"/>
  <c r="H175" i="18"/>
  <c r="K175" i="18" s="1"/>
  <c r="H207" i="18"/>
  <c r="K207" i="18" s="1"/>
  <c r="H49" i="18"/>
  <c r="K49" i="18" s="1"/>
  <c r="H209" i="18"/>
  <c r="K209" i="18" s="1"/>
  <c r="H46" i="18"/>
  <c r="K46" i="18" s="1"/>
  <c r="H206" i="18"/>
  <c r="K206" i="18" s="1"/>
  <c r="H51" i="18"/>
  <c r="K51" i="18" s="1"/>
  <c r="H147" i="18"/>
  <c r="K147" i="18" s="1"/>
  <c r="H191" i="18"/>
  <c r="K191" i="18" s="1"/>
  <c r="E13" i="29"/>
  <c r="K13" i="18" l="1"/>
  <c r="K14" i="18"/>
  <c r="K212" i="18"/>
  <c r="F12" i="29" l="1"/>
  <c r="I137" i="18" l="1"/>
  <c r="J137" i="18" s="1"/>
  <c r="L137" i="18" s="1"/>
  <c r="I55" i="18"/>
  <c r="J55" i="18" s="1"/>
  <c r="L55" i="18" s="1"/>
  <c r="I209" i="18"/>
  <c r="J209" i="18" s="1"/>
  <c r="L209" i="18" s="1"/>
  <c r="I63" i="18"/>
  <c r="J63" i="18" s="1"/>
  <c r="L63" i="18" s="1"/>
  <c r="I182" i="18"/>
  <c r="J182" i="18" s="1"/>
  <c r="L182" i="18" s="1"/>
  <c r="I49" i="18"/>
  <c r="J49" i="18" s="1"/>
  <c r="L49" i="18" s="1"/>
  <c r="I42" i="18"/>
  <c r="J42" i="18" s="1"/>
  <c r="L42" i="18" s="1"/>
  <c r="I145" i="18"/>
  <c r="J145" i="18" s="1"/>
  <c r="L145" i="18" s="1"/>
  <c r="I101" i="18"/>
  <c r="J101" i="18" s="1"/>
  <c r="L101" i="18" s="1"/>
  <c r="I139" i="18"/>
  <c r="J139" i="18" s="1"/>
  <c r="L139" i="18" s="1"/>
  <c r="I71" i="18"/>
  <c r="J71" i="18" s="1"/>
  <c r="L71" i="18" s="1"/>
  <c r="I112" i="18"/>
  <c r="J112" i="18" s="1"/>
  <c r="L112" i="18" s="1"/>
  <c r="I135" i="18"/>
  <c r="J135" i="18" s="1"/>
  <c r="L135" i="18" s="1"/>
  <c r="I28" i="18"/>
  <c r="J28" i="18" s="1"/>
  <c r="L28" i="18" s="1"/>
  <c r="I100" i="18"/>
  <c r="J100" i="18" s="1"/>
  <c r="L100" i="18" s="1"/>
  <c r="I27" i="18"/>
  <c r="J27" i="18" s="1"/>
  <c r="L27" i="18" s="1"/>
  <c r="I98" i="18"/>
  <c r="J98" i="18" s="1"/>
  <c r="L98" i="18" s="1"/>
  <c r="I210" i="18"/>
  <c r="J210" i="18" s="1"/>
  <c r="L210" i="18" s="1"/>
  <c r="I198" i="18"/>
  <c r="J198" i="18" s="1"/>
  <c r="L198" i="18" s="1"/>
  <c r="I21" i="18"/>
  <c r="J21" i="18" s="1"/>
  <c r="L21" i="18" s="1"/>
  <c r="I138" i="18"/>
  <c r="J138" i="18" s="1"/>
  <c r="L138" i="18" s="1"/>
  <c r="I103" i="18"/>
  <c r="J103" i="18" s="1"/>
  <c r="L103" i="18" s="1"/>
  <c r="I47" i="18"/>
  <c r="J47" i="18" s="1"/>
  <c r="L47" i="18" s="1"/>
  <c r="I133" i="18"/>
  <c r="J133" i="18" s="1"/>
  <c r="L133" i="18" s="1"/>
  <c r="I57" i="18"/>
  <c r="J57" i="18" s="1"/>
  <c r="L57" i="18" s="1"/>
  <c r="I111" i="18"/>
  <c r="J111" i="18" s="1"/>
  <c r="L111" i="18" s="1"/>
  <c r="I149" i="18"/>
  <c r="J149" i="18" s="1"/>
  <c r="L149" i="18" s="1"/>
  <c r="I37" i="18"/>
  <c r="J37" i="18" s="1"/>
  <c r="L37" i="18" s="1"/>
  <c r="I25" i="18"/>
  <c r="J25" i="18" s="1"/>
  <c r="L25" i="18" s="1"/>
  <c r="I72" i="18"/>
  <c r="J72" i="18" s="1"/>
  <c r="L72" i="18" s="1"/>
  <c r="I85" i="18"/>
  <c r="J85" i="18" s="1"/>
  <c r="L85" i="18" s="1"/>
  <c r="I56" i="18"/>
  <c r="J56" i="18" s="1"/>
  <c r="I153" i="18"/>
  <c r="J153" i="18" s="1"/>
  <c r="L153" i="18" s="1"/>
  <c r="I143" i="18"/>
  <c r="J143" i="18" s="1"/>
  <c r="L143" i="18" s="1"/>
  <c r="I144" i="18"/>
  <c r="J144" i="18" s="1"/>
  <c r="L144" i="18" s="1"/>
  <c r="I201" i="18"/>
  <c r="J201" i="18" s="1"/>
  <c r="L201" i="18" s="1"/>
  <c r="I68" i="18"/>
  <c r="J68" i="18" s="1"/>
  <c r="L68" i="18" s="1"/>
  <c r="I46" i="18"/>
  <c r="J46" i="18" s="1"/>
  <c r="L46" i="18" s="1"/>
  <c r="I82" i="18"/>
  <c r="J82" i="18" s="1"/>
  <c r="L82" i="18" s="1"/>
  <c r="I54" i="18"/>
  <c r="J54" i="18" s="1"/>
  <c r="L54" i="18" s="1"/>
  <c r="I75" i="18"/>
  <c r="J75" i="18" s="1"/>
  <c r="L75" i="18" s="1"/>
  <c r="I58" i="18"/>
  <c r="J58" i="18" s="1"/>
  <c r="L58" i="18" s="1"/>
  <c r="I150" i="18"/>
  <c r="J150" i="18" s="1"/>
  <c r="L150" i="18" s="1"/>
  <c r="I126" i="18"/>
  <c r="J126" i="18" s="1"/>
  <c r="L126" i="18" s="1"/>
  <c r="I83" i="18"/>
  <c r="J83" i="18" s="1"/>
  <c r="L83" i="18" s="1"/>
  <c r="I207" i="18"/>
  <c r="J207" i="18" s="1"/>
  <c r="L207" i="18" s="1"/>
  <c r="I86" i="18"/>
  <c r="J86" i="18" s="1"/>
  <c r="L86" i="18" s="1"/>
  <c r="I95" i="18"/>
  <c r="J95" i="18" s="1"/>
  <c r="L95" i="18" s="1"/>
  <c r="I87" i="18"/>
  <c r="J87" i="18" s="1"/>
  <c r="L87" i="18" s="1"/>
  <c r="I94" i="18"/>
  <c r="J94" i="18" s="1"/>
  <c r="L94" i="18" s="1"/>
  <c r="I115" i="18"/>
  <c r="J115" i="18" s="1"/>
  <c r="L115" i="18" s="1"/>
  <c r="I180" i="18"/>
  <c r="J180" i="18" s="1"/>
  <c r="L180" i="18" s="1"/>
  <c r="I130" i="18"/>
  <c r="J130" i="18" s="1"/>
  <c r="L130" i="18" s="1"/>
  <c r="I81" i="18"/>
  <c r="J81" i="18" s="1"/>
  <c r="L81" i="18" s="1"/>
  <c r="I70" i="18"/>
  <c r="J70" i="18" s="1"/>
  <c r="L70" i="18" s="1"/>
  <c r="I120" i="18"/>
  <c r="J120" i="18" s="1"/>
  <c r="L120" i="18" s="1"/>
  <c r="I140" i="18"/>
  <c r="J140" i="18" s="1"/>
  <c r="L140" i="18" s="1"/>
  <c r="I184" i="18"/>
  <c r="J184" i="18" s="1"/>
  <c r="L184" i="18" s="1"/>
  <c r="I131" i="18"/>
  <c r="J131" i="18" s="1"/>
  <c r="L131" i="18" s="1"/>
  <c r="I168" i="18"/>
  <c r="J168" i="18" s="1"/>
  <c r="L168" i="18" s="1"/>
  <c r="I194" i="18"/>
  <c r="J194" i="18" s="1"/>
  <c r="L194" i="18" s="1"/>
  <c r="I65" i="18"/>
  <c r="J65" i="18" s="1"/>
  <c r="L65" i="18" s="1"/>
  <c r="I141" i="18"/>
  <c r="J141" i="18" s="1"/>
  <c r="L141" i="18" s="1"/>
  <c r="I38" i="18"/>
  <c r="J38" i="18" s="1"/>
  <c r="L38" i="18" s="1"/>
  <c r="I29" i="18"/>
  <c r="J29" i="18" s="1"/>
  <c r="L29" i="18" s="1"/>
  <c r="I171" i="18"/>
  <c r="J171" i="18" s="1"/>
  <c r="L171" i="18" s="1"/>
  <c r="I53" i="18"/>
  <c r="J53" i="18" s="1"/>
  <c r="L53" i="18" s="1"/>
  <c r="I59" i="18"/>
  <c r="J59" i="18" s="1"/>
  <c r="L59" i="18" s="1"/>
  <c r="I24" i="18"/>
  <c r="J24" i="18" s="1"/>
  <c r="L24" i="18" s="1"/>
  <c r="I200" i="18"/>
  <c r="J200" i="18" s="1"/>
  <c r="L200" i="18" s="1"/>
  <c r="I197" i="18"/>
  <c r="J197" i="18" s="1"/>
  <c r="L197" i="18" s="1"/>
  <c r="I67" i="18"/>
  <c r="J67" i="18" s="1"/>
  <c r="L67" i="18" s="1"/>
  <c r="I52" i="18"/>
  <c r="J52" i="18" s="1"/>
  <c r="L52" i="18" s="1"/>
  <c r="I45" i="18"/>
  <c r="J45" i="18" s="1"/>
  <c r="L45" i="18" s="1"/>
  <c r="I62" i="18"/>
  <c r="J62" i="18" s="1"/>
  <c r="L62" i="18" s="1"/>
  <c r="I60" i="18"/>
  <c r="J60" i="18" s="1"/>
  <c r="L60" i="18" s="1"/>
  <c r="I173" i="18"/>
  <c r="J173" i="18" s="1"/>
  <c r="L173" i="18" s="1"/>
  <c r="I157" i="18"/>
  <c r="J157" i="18" s="1"/>
  <c r="L157" i="18" s="1"/>
  <c r="I102" i="18"/>
  <c r="J102" i="18" s="1"/>
  <c r="L102" i="18" s="1"/>
  <c r="I185" i="18"/>
  <c r="J185" i="18" s="1"/>
  <c r="L185" i="18" s="1"/>
  <c r="I91" i="18"/>
  <c r="J91" i="18" s="1"/>
  <c r="L91" i="18" s="1"/>
  <c r="F14" i="29"/>
  <c r="I160" i="18"/>
  <c r="J160" i="18" s="1"/>
  <c r="L160" i="18" s="1"/>
  <c r="I187" i="18"/>
  <c r="J187" i="18" s="1"/>
  <c r="L187" i="18" s="1"/>
  <c r="I148" i="18"/>
  <c r="J148" i="18" s="1"/>
  <c r="L148" i="18" s="1"/>
  <c r="I152" i="18"/>
  <c r="J152" i="18" s="1"/>
  <c r="L152" i="18" s="1"/>
  <c r="I113" i="18"/>
  <c r="J113" i="18" s="1"/>
  <c r="L113" i="18" s="1"/>
  <c r="I20" i="18"/>
  <c r="J20" i="18" s="1"/>
  <c r="I114" i="18"/>
  <c r="J114" i="18" s="1"/>
  <c r="L114" i="18" s="1"/>
  <c r="I162" i="18"/>
  <c r="J162" i="18" s="1"/>
  <c r="L162" i="18" s="1"/>
  <c r="I92" i="18"/>
  <c r="J92" i="18" s="1"/>
  <c r="L92" i="18" s="1"/>
  <c r="I104" i="18"/>
  <c r="J104" i="18" s="1"/>
  <c r="L104" i="18" s="1"/>
  <c r="I142" i="18"/>
  <c r="J142" i="18" s="1"/>
  <c r="L142" i="18" s="1"/>
  <c r="I66" i="18"/>
  <c r="J66" i="18" s="1"/>
  <c r="L66" i="18" s="1"/>
  <c r="I172" i="18"/>
  <c r="J172" i="18" s="1"/>
  <c r="L172" i="18" s="1"/>
  <c r="I204" i="18"/>
  <c r="J204" i="18" s="1"/>
  <c r="L204" i="18" s="1"/>
  <c r="I147" i="18"/>
  <c r="J147" i="18" s="1"/>
  <c r="L147" i="18" s="1"/>
  <c r="I123" i="18"/>
  <c r="J123" i="18" s="1"/>
  <c r="L123" i="18" s="1"/>
  <c r="I117" i="18"/>
  <c r="J117" i="18" s="1"/>
  <c r="L117" i="18" s="1"/>
  <c r="I175" i="18"/>
  <c r="J175" i="18" s="1"/>
  <c r="L175" i="18" s="1"/>
  <c r="I88" i="18"/>
  <c r="J88" i="18" s="1"/>
  <c r="L88" i="18" s="1"/>
  <c r="I48" i="18"/>
  <c r="J48" i="18" s="1"/>
  <c r="L48" i="18" s="1"/>
  <c r="I191" i="18"/>
  <c r="J191" i="18" s="1"/>
  <c r="L191" i="18" s="1"/>
  <c r="I146" i="18"/>
  <c r="J146" i="18" s="1"/>
  <c r="L146" i="18" s="1"/>
  <c r="I192" i="18"/>
  <c r="J192" i="18" s="1"/>
  <c r="L192" i="18" s="1"/>
  <c r="I61" i="18"/>
  <c r="J61" i="18" s="1"/>
  <c r="L61" i="18" s="1"/>
  <c r="I109" i="18"/>
  <c r="J109" i="18" s="1"/>
  <c r="L109" i="18" s="1"/>
  <c r="I80" i="18"/>
  <c r="J80" i="18" s="1"/>
  <c r="L80" i="18" s="1"/>
  <c r="I164" i="18"/>
  <c r="J164" i="18" s="1"/>
  <c r="L164" i="18" s="1"/>
  <c r="I134" i="18"/>
  <c r="J134" i="18" s="1"/>
  <c r="L134" i="18" s="1"/>
  <c r="I73" i="18"/>
  <c r="J73" i="18" s="1"/>
  <c r="L73" i="18" s="1"/>
  <c r="I124" i="18"/>
  <c r="J124" i="18" s="1"/>
  <c r="L124" i="18" s="1"/>
  <c r="I76" i="18"/>
  <c r="J76" i="18" s="1"/>
  <c r="L76" i="18" s="1"/>
  <c r="I156" i="18"/>
  <c r="J156" i="18" s="1"/>
  <c r="L156" i="18" s="1"/>
  <c r="I155" i="18"/>
  <c r="J155" i="18" s="1"/>
  <c r="L155" i="18" s="1"/>
  <c r="I154" i="18"/>
  <c r="J154" i="18" s="1"/>
  <c r="L154" i="18" s="1"/>
  <c r="I107" i="18"/>
  <c r="J107" i="18" s="1"/>
  <c r="L107" i="18" s="1"/>
  <c r="I163" i="18"/>
  <c r="J163" i="18" s="1"/>
  <c r="L163" i="18" s="1"/>
  <c r="I211" i="18"/>
  <c r="J211" i="18" s="1"/>
  <c r="L211" i="18" s="1"/>
  <c r="I79" i="18"/>
  <c r="J79" i="18" s="1"/>
  <c r="L79" i="18" s="1"/>
  <c r="I34" i="18"/>
  <c r="J34" i="18" s="1"/>
  <c r="L34" i="18" s="1"/>
  <c r="I97" i="18"/>
  <c r="J97" i="18" s="1"/>
  <c r="L97" i="18" s="1"/>
  <c r="I205" i="18"/>
  <c r="J205" i="18" s="1"/>
  <c r="L205" i="18" s="1"/>
  <c r="I93" i="18"/>
  <c r="J93" i="18" s="1"/>
  <c r="L93" i="18" s="1"/>
  <c r="I89" i="18"/>
  <c r="J89" i="18" s="1"/>
  <c r="L89" i="18" s="1"/>
  <c r="I116" i="18"/>
  <c r="J116" i="18" s="1"/>
  <c r="L116" i="18" s="1"/>
  <c r="I165" i="18"/>
  <c r="J165" i="18" s="1"/>
  <c r="L165" i="18" s="1"/>
  <c r="I69" i="18"/>
  <c r="J69" i="18" s="1"/>
  <c r="L69" i="18" s="1"/>
  <c r="I195" i="18"/>
  <c r="J195" i="18" s="1"/>
  <c r="L195" i="18" s="1"/>
  <c r="I90" i="18"/>
  <c r="J90" i="18" s="1"/>
  <c r="L90" i="18" s="1"/>
  <c r="I122" i="18"/>
  <c r="J122" i="18" s="1"/>
  <c r="L122" i="18" s="1"/>
  <c r="I203" i="18"/>
  <c r="J203" i="18" s="1"/>
  <c r="L203" i="18" s="1"/>
  <c r="I121" i="18"/>
  <c r="J121" i="18" s="1"/>
  <c r="L121" i="18" s="1"/>
  <c r="I158" i="18"/>
  <c r="J158" i="18" s="1"/>
  <c r="L158" i="18" s="1"/>
  <c r="I22" i="18"/>
  <c r="J22" i="18" s="1"/>
  <c r="L22" i="18" s="1"/>
  <c r="I41" i="18"/>
  <c r="J41" i="18" s="1"/>
  <c r="L41" i="18" s="1"/>
  <c r="I161" i="18"/>
  <c r="J161" i="18" s="1"/>
  <c r="L161" i="18" s="1"/>
  <c r="I167" i="18"/>
  <c r="J167" i="18" s="1"/>
  <c r="L167" i="18" s="1"/>
  <c r="I179" i="18"/>
  <c r="J179" i="18" s="1"/>
  <c r="L179" i="18" s="1"/>
  <c r="I51" i="18"/>
  <c r="J51" i="18" s="1"/>
  <c r="L51" i="18" s="1"/>
  <c r="I39" i="18"/>
  <c r="J39" i="18" s="1"/>
  <c r="L39" i="18" s="1"/>
  <c r="I32" i="18"/>
  <c r="J32" i="18" s="1"/>
  <c r="L32" i="18" s="1"/>
  <c r="I127" i="18"/>
  <c r="J127" i="18" s="1"/>
  <c r="L127" i="18" s="1"/>
  <c r="I125" i="18"/>
  <c r="J125" i="18" s="1"/>
  <c r="L125" i="18" s="1"/>
  <c r="I178" i="18"/>
  <c r="J178" i="18" s="1"/>
  <c r="L178" i="18" s="1"/>
  <c r="I128" i="18"/>
  <c r="J128" i="18" s="1"/>
  <c r="L128" i="18" s="1"/>
  <c r="I188" i="18"/>
  <c r="J188" i="18" s="1"/>
  <c r="L188" i="18" s="1"/>
  <c r="I132" i="18"/>
  <c r="J132" i="18" s="1"/>
  <c r="L132" i="18" s="1"/>
  <c r="I106" i="18"/>
  <c r="J106" i="18" s="1"/>
  <c r="L106" i="18" s="1"/>
  <c r="I26" i="18"/>
  <c r="J26" i="18" s="1"/>
  <c r="L26" i="18" s="1"/>
  <c r="I77" i="18"/>
  <c r="J77" i="18" s="1"/>
  <c r="L77" i="18" s="1"/>
  <c r="I119" i="18"/>
  <c r="J119" i="18" s="1"/>
  <c r="L119" i="18" s="1"/>
  <c r="I40" i="18"/>
  <c r="J40" i="18" s="1"/>
  <c r="L40" i="18" s="1"/>
  <c r="I33" i="18"/>
  <c r="J33" i="18" s="1"/>
  <c r="L33" i="18" s="1"/>
  <c r="I78" i="18"/>
  <c r="J78" i="18" s="1"/>
  <c r="L78" i="18" s="1"/>
  <c r="I177" i="18"/>
  <c r="J177" i="18" s="1"/>
  <c r="L177" i="18" s="1"/>
  <c r="I84" i="18"/>
  <c r="J84" i="18" s="1"/>
  <c r="L84" i="18" s="1"/>
  <c r="I35" i="18"/>
  <c r="J35" i="18" s="1"/>
  <c r="L35" i="18" s="1"/>
  <c r="I108" i="18"/>
  <c r="J108" i="18" s="1"/>
  <c r="L108" i="18" s="1"/>
  <c r="I202" i="18"/>
  <c r="J202" i="18" s="1"/>
  <c r="L202" i="18" s="1"/>
  <c r="I183" i="18"/>
  <c r="J183" i="18" s="1"/>
  <c r="L183" i="18" s="1"/>
  <c r="I199" i="18"/>
  <c r="J199" i="18" s="1"/>
  <c r="L199" i="18" s="1"/>
  <c r="I166" i="18"/>
  <c r="J166" i="18" s="1"/>
  <c r="L166" i="18" s="1"/>
  <c r="I43" i="18"/>
  <c r="J43" i="18" s="1"/>
  <c r="L43" i="18" s="1"/>
  <c r="I64" i="18"/>
  <c r="J64" i="18" s="1"/>
  <c r="L64" i="18" s="1"/>
  <c r="I176" i="18"/>
  <c r="J176" i="18" s="1"/>
  <c r="L176" i="18" s="1"/>
  <c r="I174" i="18"/>
  <c r="J174" i="18" s="1"/>
  <c r="L174" i="18" s="1"/>
  <c r="I206" i="18"/>
  <c r="J206" i="18" s="1"/>
  <c r="L206" i="18" s="1"/>
  <c r="I170" i="18"/>
  <c r="J170" i="18" s="1"/>
  <c r="L170" i="18" s="1"/>
  <c r="I136" i="18"/>
  <c r="J136" i="18" s="1"/>
  <c r="L136" i="18" s="1"/>
  <c r="I169" i="18"/>
  <c r="J169" i="18" s="1"/>
  <c r="L169" i="18" s="1"/>
  <c r="I30" i="18"/>
  <c r="J30" i="18" s="1"/>
  <c r="L30" i="18" s="1"/>
  <c r="I129" i="18"/>
  <c r="J129" i="18" s="1"/>
  <c r="L129" i="18" s="1"/>
  <c r="I50" i="18"/>
  <c r="J50" i="18" s="1"/>
  <c r="L50" i="18" s="1"/>
  <c r="I99" i="18"/>
  <c r="J99" i="18" s="1"/>
  <c r="L99" i="18" s="1"/>
  <c r="I159" i="18"/>
  <c r="J159" i="18" s="1"/>
  <c r="L159" i="18" s="1"/>
  <c r="I189" i="18"/>
  <c r="J189" i="18" s="1"/>
  <c r="L189" i="18" s="1"/>
  <c r="I208" i="18"/>
  <c r="J208" i="18" s="1"/>
  <c r="L208" i="18" s="1"/>
  <c r="I151" i="18"/>
  <c r="J151" i="18" s="1"/>
  <c r="L151" i="18" s="1"/>
  <c r="I190" i="18"/>
  <c r="J190" i="18" s="1"/>
  <c r="L190" i="18" s="1"/>
  <c r="I105" i="18"/>
  <c r="J105" i="18" s="1"/>
  <c r="L105" i="18" s="1"/>
  <c r="I44" i="18"/>
  <c r="J44" i="18" s="1"/>
  <c r="L44" i="18" s="1"/>
  <c r="I186" i="18"/>
  <c r="J186" i="18" s="1"/>
  <c r="L186" i="18" s="1"/>
  <c r="I74" i="18"/>
  <c r="J74" i="18" s="1"/>
  <c r="L74" i="18" s="1"/>
  <c r="I110" i="18"/>
  <c r="J110" i="18" s="1"/>
  <c r="L110" i="18" s="1"/>
  <c r="I181" i="18"/>
  <c r="J181" i="18" s="1"/>
  <c r="L181" i="18" s="1"/>
  <c r="I196" i="18"/>
  <c r="J196" i="18" s="1"/>
  <c r="L196" i="18" s="1"/>
  <c r="I96" i="18"/>
  <c r="J96" i="18" s="1"/>
  <c r="L96" i="18" s="1"/>
  <c r="I31" i="18"/>
  <c r="J31" i="18" s="1"/>
  <c r="L31" i="18" s="1"/>
  <c r="I193" i="18"/>
  <c r="J193" i="18" s="1"/>
  <c r="L193" i="18" s="1"/>
  <c r="I118" i="18"/>
  <c r="J118" i="18" s="1"/>
  <c r="L118" i="18" s="1"/>
  <c r="I36" i="18"/>
  <c r="J36" i="18" s="1"/>
  <c r="L36" i="18" s="1"/>
  <c r="I23" i="18"/>
  <c r="J23" i="18" s="1"/>
  <c r="L23" i="18" s="1"/>
  <c r="L56" i="18" l="1"/>
  <c r="J13" i="18"/>
  <c r="J212" i="18"/>
  <c r="J14" i="18"/>
  <c r="L20" i="18"/>
  <c r="L14" i="18" l="1"/>
  <c r="L212" i="18"/>
  <c r="L13" i="18"/>
  <c r="M202" i="18" l="1"/>
  <c r="N202" i="18" s="1"/>
  <c r="R202" i="18" s="1"/>
  <c r="M163" i="18"/>
  <c r="N163" i="18" s="1"/>
  <c r="R163" i="18" s="1"/>
  <c r="M76" i="18"/>
  <c r="N76" i="18" s="1"/>
  <c r="R76" i="18" s="1"/>
  <c r="M150" i="18"/>
  <c r="N150" i="18" s="1"/>
  <c r="R150" i="18" s="1"/>
  <c r="M56" i="18"/>
  <c r="M69" i="18"/>
  <c r="N69" i="18" s="1"/>
  <c r="R69" i="18" s="1"/>
  <c r="M189" i="18"/>
  <c r="N189" i="18" s="1"/>
  <c r="R189" i="18" s="1"/>
  <c r="M36" i="18"/>
  <c r="N36" i="18" s="1"/>
  <c r="R36" i="18" s="1"/>
  <c r="M67" i="18"/>
  <c r="N67" i="18" s="1"/>
  <c r="R67" i="18" s="1"/>
  <c r="M38" i="18"/>
  <c r="N38" i="18" s="1"/>
  <c r="R38" i="18" s="1"/>
  <c r="M62" i="18"/>
  <c r="N62" i="18" s="1"/>
  <c r="R62" i="18" s="1"/>
  <c r="M64" i="18"/>
  <c r="N64" i="18" s="1"/>
  <c r="R64" i="18" s="1"/>
  <c r="M41" i="18"/>
  <c r="N41" i="18" s="1"/>
  <c r="R41" i="18" s="1"/>
  <c r="M184" i="18"/>
  <c r="N184" i="18" s="1"/>
  <c r="R184" i="18" s="1"/>
  <c r="M92" i="18"/>
  <c r="N92" i="18" s="1"/>
  <c r="R92" i="18" s="1"/>
  <c r="M152" i="18"/>
  <c r="N152" i="18" s="1"/>
  <c r="R152" i="18" s="1"/>
  <c r="M100" i="18"/>
  <c r="N100" i="18" s="1"/>
  <c r="R100" i="18" s="1"/>
  <c r="M55" i="18"/>
  <c r="N55" i="18" s="1"/>
  <c r="R55" i="18" s="1"/>
  <c r="M195" i="18"/>
  <c r="N195" i="18" s="1"/>
  <c r="R195" i="18" s="1"/>
  <c r="M203" i="18"/>
  <c r="N203" i="18" s="1"/>
  <c r="R203" i="18" s="1"/>
  <c r="M185" i="18"/>
  <c r="N185" i="18" s="1"/>
  <c r="R185" i="18" s="1"/>
  <c r="M35" i="18"/>
  <c r="N35" i="18" s="1"/>
  <c r="R35" i="18" s="1"/>
  <c r="M132" i="18"/>
  <c r="N132" i="18" s="1"/>
  <c r="R132" i="18" s="1"/>
  <c r="M137" i="18"/>
  <c r="N137" i="18" s="1"/>
  <c r="R137" i="18" s="1"/>
  <c r="M43" i="18"/>
  <c r="N43" i="18" s="1"/>
  <c r="R43" i="18" s="1"/>
  <c r="M177" i="18"/>
  <c r="N177" i="18" s="1"/>
  <c r="R177" i="18" s="1"/>
  <c r="M68" i="18"/>
  <c r="N68" i="18" s="1"/>
  <c r="R68" i="18" s="1"/>
  <c r="M141" i="18"/>
  <c r="N141" i="18" s="1"/>
  <c r="R141" i="18" s="1"/>
  <c r="M197" i="18"/>
  <c r="N197" i="18" s="1"/>
  <c r="R197" i="18" s="1"/>
  <c r="M186" i="18"/>
  <c r="N186" i="18" s="1"/>
  <c r="R186" i="18" s="1"/>
  <c r="M194" i="18"/>
  <c r="N194" i="18" s="1"/>
  <c r="R194" i="18" s="1"/>
  <c r="M209" i="18"/>
  <c r="N209" i="18" s="1"/>
  <c r="R209" i="18" s="1"/>
  <c r="M97" i="18"/>
  <c r="N97" i="18" s="1"/>
  <c r="R97" i="18" s="1"/>
  <c r="M42" i="18"/>
  <c r="N42" i="18" s="1"/>
  <c r="R42" i="18" s="1"/>
  <c r="M118" i="18"/>
  <c r="N118" i="18" s="1"/>
  <c r="R118" i="18" s="1"/>
  <c r="M65" i="18"/>
  <c r="N65" i="18" s="1"/>
  <c r="R65" i="18" s="1"/>
  <c r="M164" i="18"/>
  <c r="N164" i="18" s="1"/>
  <c r="R164" i="18" s="1"/>
  <c r="M182" i="18"/>
  <c r="N182" i="18" s="1"/>
  <c r="R182" i="18" s="1"/>
  <c r="M178" i="18"/>
  <c r="N178" i="18" s="1"/>
  <c r="R178" i="18" s="1"/>
  <c r="M27" i="18"/>
  <c r="N27" i="18" s="1"/>
  <c r="R27" i="18" s="1"/>
  <c r="M119" i="18"/>
  <c r="N119" i="18" s="1"/>
  <c r="R119" i="18" s="1"/>
  <c r="M79" i="18"/>
  <c r="N79" i="18" s="1"/>
  <c r="R79" i="18" s="1"/>
  <c r="M160" i="18"/>
  <c r="N160" i="18" s="1"/>
  <c r="R160" i="18" s="1"/>
  <c r="M89" i="18"/>
  <c r="N89" i="18" s="1"/>
  <c r="R89" i="18" s="1"/>
  <c r="M47" i="18"/>
  <c r="N47" i="18" s="1"/>
  <c r="R47" i="18" s="1"/>
  <c r="M101" i="18"/>
  <c r="N101" i="18" s="1"/>
  <c r="R101" i="18" s="1"/>
  <c r="M84" i="18"/>
  <c r="N84" i="18" s="1"/>
  <c r="R84" i="18" s="1"/>
  <c r="M46" i="18"/>
  <c r="N46" i="18" s="1"/>
  <c r="R46" i="18" s="1"/>
  <c r="M51" i="18"/>
  <c r="N51" i="18" s="1"/>
  <c r="R51" i="18" s="1"/>
  <c r="M135" i="18"/>
  <c r="N135" i="18" s="1"/>
  <c r="R135" i="18" s="1"/>
  <c r="M111" i="18"/>
  <c r="N111" i="18" s="1"/>
  <c r="R111" i="18" s="1"/>
  <c r="M156" i="18"/>
  <c r="N156" i="18" s="1"/>
  <c r="R156" i="18" s="1"/>
  <c r="M94" i="18"/>
  <c r="N94" i="18" s="1"/>
  <c r="R94" i="18" s="1"/>
  <c r="M207" i="18"/>
  <c r="N207" i="18" s="1"/>
  <c r="R207" i="18" s="1"/>
  <c r="M81" i="18"/>
  <c r="N81" i="18" s="1"/>
  <c r="R81" i="18" s="1"/>
  <c r="M206" i="18"/>
  <c r="N206" i="18" s="1"/>
  <c r="R206" i="18" s="1"/>
  <c r="M120" i="18"/>
  <c r="N120" i="18" s="1"/>
  <c r="R120" i="18" s="1"/>
  <c r="M136" i="18"/>
  <c r="N136" i="18" s="1"/>
  <c r="R136" i="18" s="1"/>
  <c r="M31" i="18"/>
  <c r="N31" i="18" s="1"/>
  <c r="R31" i="18" s="1"/>
  <c r="M183" i="18"/>
  <c r="N183" i="18" s="1"/>
  <c r="R183" i="18" s="1"/>
  <c r="M149" i="18"/>
  <c r="N149" i="18" s="1"/>
  <c r="R149" i="18" s="1"/>
  <c r="M109" i="18"/>
  <c r="N109" i="18" s="1"/>
  <c r="R109" i="18" s="1"/>
  <c r="M169" i="18"/>
  <c r="N169" i="18" s="1"/>
  <c r="R169" i="18" s="1"/>
  <c r="M204" i="18"/>
  <c r="N204" i="18" s="1"/>
  <c r="R204" i="18" s="1"/>
  <c r="M33" i="18"/>
  <c r="N33" i="18" s="1"/>
  <c r="R33" i="18" s="1"/>
  <c r="M181" i="18"/>
  <c r="N181" i="18" s="1"/>
  <c r="R181" i="18" s="1"/>
  <c r="M193" i="18"/>
  <c r="N193" i="18" s="1"/>
  <c r="R193" i="18" s="1"/>
  <c r="M126" i="18"/>
  <c r="N126" i="18" s="1"/>
  <c r="R126" i="18" s="1"/>
  <c r="M28" i="18"/>
  <c r="N28" i="18" s="1"/>
  <c r="R28" i="18" s="1"/>
  <c r="M143" i="18"/>
  <c r="N143" i="18" s="1"/>
  <c r="R143" i="18" s="1"/>
  <c r="M107" i="18"/>
  <c r="N107" i="18" s="1"/>
  <c r="R107" i="18" s="1"/>
  <c r="M153" i="18"/>
  <c r="N153" i="18" s="1"/>
  <c r="R153" i="18" s="1"/>
  <c r="M63" i="18"/>
  <c r="N63" i="18" s="1"/>
  <c r="R63" i="18" s="1"/>
  <c r="M165" i="18"/>
  <c r="N165" i="18" s="1"/>
  <c r="R165" i="18" s="1"/>
  <c r="M83" i="18"/>
  <c r="N83" i="18" s="1"/>
  <c r="R83" i="18" s="1"/>
  <c r="M172" i="18"/>
  <c r="N172" i="18" s="1"/>
  <c r="R172" i="18" s="1"/>
  <c r="M102" i="18"/>
  <c r="N102" i="18" s="1"/>
  <c r="R102" i="18" s="1"/>
  <c r="M108" i="18"/>
  <c r="N108" i="18" s="1"/>
  <c r="R108" i="18" s="1"/>
  <c r="M53" i="18"/>
  <c r="N53" i="18" s="1"/>
  <c r="R53" i="18" s="1"/>
  <c r="M192" i="18"/>
  <c r="N192" i="18" s="1"/>
  <c r="R192" i="18" s="1"/>
  <c r="M66" i="18"/>
  <c r="N66" i="18" s="1"/>
  <c r="R66" i="18" s="1"/>
  <c r="M22" i="18"/>
  <c r="N22" i="18" s="1"/>
  <c r="R22" i="18" s="1"/>
  <c r="M123" i="18"/>
  <c r="N123" i="18" s="1"/>
  <c r="R123" i="18" s="1"/>
  <c r="M78" i="18"/>
  <c r="N78" i="18" s="1"/>
  <c r="R78" i="18" s="1"/>
  <c r="M151" i="18"/>
  <c r="N151" i="18" s="1"/>
  <c r="R151" i="18" s="1"/>
  <c r="M133" i="18"/>
  <c r="N133" i="18" s="1"/>
  <c r="R133" i="18" s="1"/>
  <c r="M85" i="18"/>
  <c r="N85" i="18" s="1"/>
  <c r="R85" i="18" s="1"/>
  <c r="M147" i="18"/>
  <c r="N147" i="18" s="1"/>
  <c r="R147" i="18" s="1"/>
  <c r="M125" i="18"/>
  <c r="N125" i="18" s="1"/>
  <c r="R125" i="18" s="1"/>
  <c r="M24" i="18"/>
  <c r="N24" i="18" s="1"/>
  <c r="R24" i="18" s="1"/>
  <c r="M187" i="18"/>
  <c r="N187" i="18" s="1"/>
  <c r="R187" i="18" s="1"/>
  <c r="M96" i="18"/>
  <c r="N96" i="18" s="1"/>
  <c r="R96" i="18" s="1"/>
  <c r="M58" i="18"/>
  <c r="N58" i="18" s="1"/>
  <c r="R58" i="18" s="1"/>
  <c r="M145" i="18"/>
  <c r="N145" i="18" s="1"/>
  <c r="R145" i="18" s="1"/>
  <c r="M166" i="18"/>
  <c r="N166" i="18" s="1"/>
  <c r="R166" i="18" s="1"/>
  <c r="M146" i="18"/>
  <c r="N146" i="18" s="1"/>
  <c r="R146" i="18" s="1"/>
  <c r="M61" i="18"/>
  <c r="N61" i="18" s="1"/>
  <c r="R61" i="18" s="1"/>
  <c r="M45" i="18"/>
  <c r="N45" i="18" s="1"/>
  <c r="R45" i="18" s="1"/>
  <c r="M99" i="18"/>
  <c r="N99" i="18" s="1"/>
  <c r="R99" i="18" s="1"/>
  <c r="M154" i="18"/>
  <c r="N154" i="18" s="1"/>
  <c r="R154" i="18" s="1"/>
  <c r="M171" i="18"/>
  <c r="N171" i="18" s="1"/>
  <c r="R171" i="18" s="1"/>
  <c r="M112" i="18"/>
  <c r="N112" i="18" s="1"/>
  <c r="R112" i="18" s="1"/>
  <c r="M87" i="18"/>
  <c r="N87" i="18" s="1"/>
  <c r="R87" i="18" s="1"/>
  <c r="M191" i="18"/>
  <c r="N191" i="18" s="1"/>
  <c r="R191" i="18" s="1"/>
  <c r="M50" i="18"/>
  <c r="N50" i="18" s="1"/>
  <c r="R50" i="18" s="1"/>
  <c r="M39" i="18"/>
  <c r="N39" i="18" s="1"/>
  <c r="R39" i="18" s="1"/>
  <c r="M140" i="18"/>
  <c r="N140" i="18" s="1"/>
  <c r="R140" i="18" s="1"/>
  <c r="M70" i="18"/>
  <c r="N70" i="18" s="1"/>
  <c r="R70" i="18" s="1"/>
  <c r="M208" i="18"/>
  <c r="N208" i="18" s="1"/>
  <c r="R208" i="18" s="1"/>
  <c r="M131" i="18"/>
  <c r="N131" i="18" s="1"/>
  <c r="R131" i="18" s="1"/>
  <c r="M200" i="18"/>
  <c r="N200" i="18" s="1"/>
  <c r="R200" i="18" s="1"/>
  <c r="M37" i="18"/>
  <c r="N37" i="18" s="1"/>
  <c r="R37" i="18" s="1"/>
  <c r="M127" i="18"/>
  <c r="N127" i="18" s="1"/>
  <c r="R127" i="18" s="1"/>
  <c r="M175" i="18"/>
  <c r="N175" i="18" s="1"/>
  <c r="R175" i="18" s="1"/>
  <c r="M25" i="18"/>
  <c r="N25" i="18" s="1"/>
  <c r="R25" i="18" s="1"/>
  <c r="M159" i="18"/>
  <c r="N159" i="18" s="1"/>
  <c r="R159" i="18" s="1"/>
  <c r="M20" i="18"/>
  <c r="M115" i="18"/>
  <c r="N115" i="18" s="1"/>
  <c r="R115" i="18" s="1"/>
  <c r="M201" i="18"/>
  <c r="N201" i="18" s="1"/>
  <c r="R201" i="18" s="1"/>
  <c r="M54" i="18"/>
  <c r="N54" i="18" s="1"/>
  <c r="R54" i="18" s="1"/>
  <c r="M105" i="18"/>
  <c r="N105" i="18" s="1"/>
  <c r="R105" i="18" s="1"/>
  <c r="M49" i="18"/>
  <c r="N49" i="18" s="1"/>
  <c r="R49" i="18" s="1"/>
  <c r="M173" i="18"/>
  <c r="N173" i="18" s="1"/>
  <c r="R173" i="18" s="1"/>
  <c r="M139" i="18"/>
  <c r="N139" i="18" s="1"/>
  <c r="R139" i="18" s="1"/>
  <c r="M57" i="18"/>
  <c r="N57" i="18" s="1"/>
  <c r="R57" i="18" s="1"/>
  <c r="M190" i="18"/>
  <c r="N190" i="18" s="1"/>
  <c r="R190" i="18" s="1"/>
  <c r="M205" i="18"/>
  <c r="N205" i="18" s="1"/>
  <c r="R205" i="18" s="1"/>
  <c r="M170" i="18"/>
  <c r="N170" i="18" s="1"/>
  <c r="R170" i="18" s="1"/>
  <c r="M211" i="18"/>
  <c r="N211" i="18" s="1"/>
  <c r="R211" i="18" s="1"/>
  <c r="M114" i="18"/>
  <c r="N114" i="18" s="1"/>
  <c r="R114" i="18" s="1"/>
  <c r="M196" i="18"/>
  <c r="N196" i="18" s="1"/>
  <c r="R196" i="18" s="1"/>
  <c r="M23" i="18"/>
  <c r="N23" i="18" s="1"/>
  <c r="R23" i="18" s="1"/>
  <c r="M129" i="18"/>
  <c r="N129" i="18" s="1"/>
  <c r="R129" i="18" s="1"/>
  <c r="M71" i="18"/>
  <c r="N71" i="18" s="1"/>
  <c r="R71" i="18" s="1"/>
  <c r="M138" i="18"/>
  <c r="N138" i="18" s="1"/>
  <c r="R138" i="18" s="1"/>
  <c r="M144" i="18"/>
  <c r="N144" i="18" s="1"/>
  <c r="R144" i="18" s="1"/>
  <c r="M103" i="18"/>
  <c r="N103" i="18" s="1"/>
  <c r="R103" i="18" s="1"/>
  <c r="M179" i="18"/>
  <c r="N179" i="18" s="1"/>
  <c r="R179" i="18" s="1"/>
  <c r="M95" i="18"/>
  <c r="N95" i="18" s="1"/>
  <c r="R95" i="18" s="1"/>
  <c r="M91" i="18"/>
  <c r="N91" i="18" s="1"/>
  <c r="R91" i="18" s="1"/>
  <c r="M80" i="18"/>
  <c r="N80" i="18" s="1"/>
  <c r="R80" i="18" s="1"/>
  <c r="M88" i="18"/>
  <c r="N88" i="18" s="1"/>
  <c r="R88" i="18" s="1"/>
  <c r="M148" i="18"/>
  <c r="N148" i="18" s="1"/>
  <c r="R148" i="18" s="1"/>
  <c r="M158" i="18"/>
  <c r="N158" i="18" s="1"/>
  <c r="R158" i="18" s="1"/>
  <c r="M198" i="18"/>
  <c r="N198" i="18" s="1"/>
  <c r="R198" i="18" s="1"/>
  <c r="M52" i="18"/>
  <c r="N52" i="18" s="1"/>
  <c r="R52" i="18" s="1"/>
  <c r="M121" i="18"/>
  <c r="N121" i="18" s="1"/>
  <c r="R121" i="18" s="1"/>
  <c r="M30" i="18"/>
  <c r="N30" i="18" s="1"/>
  <c r="R30" i="18" s="1"/>
  <c r="M104" i="18"/>
  <c r="N104" i="18" s="1"/>
  <c r="R104" i="18" s="1"/>
  <c r="M93" i="18"/>
  <c r="N93" i="18" s="1"/>
  <c r="R93" i="18" s="1"/>
  <c r="M90" i="18"/>
  <c r="N90" i="18" s="1"/>
  <c r="R90" i="18" s="1"/>
  <c r="M75" i="18"/>
  <c r="N75" i="18" s="1"/>
  <c r="R75" i="18" s="1"/>
  <c r="M174" i="18"/>
  <c r="N174" i="18" s="1"/>
  <c r="R174" i="18" s="1"/>
  <c r="M98" i="18"/>
  <c r="N98" i="18" s="1"/>
  <c r="R98" i="18" s="1"/>
  <c r="M44" i="18"/>
  <c r="N44" i="18" s="1"/>
  <c r="R44" i="18" s="1"/>
  <c r="M130" i="18"/>
  <c r="N130" i="18" s="1"/>
  <c r="R130" i="18" s="1"/>
  <c r="M122" i="18"/>
  <c r="N122" i="18" s="1"/>
  <c r="R122" i="18" s="1"/>
  <c r="M106" i="18"/>
  <c r="N106" i="18" s="1"/>
  <c r="R106" i="18" s="1"/>
  <c r="M77" i="18"/>
  <c r="N77" i="18" s="1"/>
  <c r="R77" i="18" s="1"/>
  <c r="M167" i="18"/>
  <c r="N167" i="18" s="1"/>
  <c r="R167" i="18" s="1"/>
  <c r="M40" i="18"/>
  <c r="N40" i="18" s="1"/>
  <c r="R40" i="18" s="1"/>
  <c r="M26" i="18"/>
  <c r="N26" i="18" s="1"/>
  <c r="R26" i="18" s="1"/>
  <c r="M161" i="18"/>
  <c r="N161" i="18" s="1"/>
  <c r="R161" i="18" s="1"/>
  <c r="M210" i="18"/>
  <c r="N210" i="18" s="1"/>
  <c r="R210" i="18" s="1"/>
  <c r="M32" i="18"/>
  <c r="N32" i="18" s="1"/>
  <c r="R32" i="18" s="1"/>
  <c r="M48" i="18"/>
  <c r="N48" i="18" s="1"/>
  <c r="R48" i="18" s="1"/>
  <c r="M116" i="18"/>
  <c r="N116" i="18" s="1"/>
  <c r="R116" i="18" s="1"/>
  <c r="M155" i="18"/>
  <c r="N155" i="18" s="1"/>
  <c r="R155" i="18" s="1"/>
  <c r="M162" i="18"/>
  <c r="N162" i="18" s="1"/>
  <c r="R162" i="18" s="1"/>
  <c r="M60" i="18"/>
  <c r="N60" i="18" s="1"/>
  <c r="R60" i="18" s="1"/>
  <c r="M82" i="18"/>
  <c r="N82" i="18" s="1"/>
  <c r="R82" i="18" s="1"/>
  <c r="M176" i="18"/>
  <c r="N176" i="18" s="1"/>
  <c r="R176" i="18" s="1"/>
  <c r="M117" i="18"/>
  <c r="N117" i="18" s="1"/>
  <c r="R117" i="18" s="1"/>
  <c r="M59" i="18"/>
  <c r="N59" i="18" s="1"/>
  <c r="R59" i="18" s="1"/>
  <c r="M34" i="18"/>
  <c r="N34" i="18" s="1"/>
  <c r="R34" i="18" s="1"/>
  <c r="M124" i="18"/>
  <c r="N124" i="18" s="1"/>
  <c r="R124" i="18" s="1"/>
  <c r="M74" i="18"/>
  <c r="N74" i="18" s="1"/>
  <c r="R74" i="18" s="1"/>
  <c r="M128" i="18"/>
  <c r="N128" i="18" s="1"/>
  <c r="R128" i="18" s="1"/>
  <c r="M157" i="18"/>
  <c r="N157" i="18" s="1"/>
  <c r="R157" i="18" s="1"/>
  <c r="M21" i="18"/>
  <c r="N21" i="18" s="1"/>
  <c r="R21" i="18" s="1"/>
  <c r="M188" i="18"/>
  <c r="N188" i="18" s="1"/>
  <c r="R188" i="18" s="1"/>
  <c r="M73" i="18"/>
  <c r="N73" i="18" s="1"/>
  <c r="R73" i="18" s="1"/>
  <c r="M168" i="18"/>
  <c r="N168" i="18" s="1"/>
  <c r="R168" i="18" s="1"/>
  <c r="M86" i="18"/>
  <c r="N86" i="18" s="1"/>
  <c r="R86" i="18" s="1"/>
  <c r="M180" i="18"/>
  <c r="N180" i="18" s="1"/>
  <c r="R180" i="18" s="1"/>
  <c r="M142" i="18"/>
  <c r="N142" i="18" s="1"/>
  <c r="R142" i="18" s="1"/>
  <c r="M199" i="18"/>
  <c r="N199" i="18" s="1"/>
  <c r="R199" i="18" s="1"/>
  <c r="M113" i="18"/>
  <c r="N113" i="18" s="1"/>
  <c r="R113" i="18" s="1"/>
  <c r="M134" i="18"/>
  <c r="N134" i="18" s="1"/>
  <c r="R134" i="18" s="1"/>
  <c r="M29" i="18"/>
  <c r="N29" i="18" s="1"/>
  <c r="R29" i="18" s="1"/>
  <c r="M72" i="18"/>
  <c r="N72" i="18" s="1"/>
  <c r="R72" i="18" s="1"/>
  <c r="M110" i="18"/>
  <c r="N110" i="18" s="1"/>
  <c r="R110" i="18" s="1"/>
  <c r="M212" i="18" l="1"/>
  <c r="N20" i="18"/>
  <c r="M13" i="18"/>
  <c r="N56" i="18"/>
  <c r="N13" i="18" l="1"/>
  <c r="R56" i="18"/>
  <c r="R13" i="18" s="1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<sst xmlns="http://schemas.openxmlformats.org/spreadsheetml/2006/main" count="417" uniqueCount="100">
  <si>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</si>
  <si>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</si>
  <si>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</si>
  <si>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</si>
  <si>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</si>
  <si>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</si>
  <si>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</si>
  <si>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</si>
  <si>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</si>
  <si>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</si>
  <si>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</si>
  <si>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</si>
  <si>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</si>
  <si>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</si>
  <si>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</si>
  <si>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</si>
  <si>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</si>
  <si>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</si>
  <si>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</si>
  <si>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</si>
  <si>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</si>
  <si>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</si>
  <si>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</si>
  <si>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</si>
  <si>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</si>
  <si>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</si>
  <si>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</si>
  <si>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</si>
  <si>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</si>
  <si>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</si>
  <si>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</si>
  <si>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</si>
  <si>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</si>
  <si>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</si>
  <si>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</si>
  <si>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</si>
  <si>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</si>
  <si>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</si>
  <si>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</si>
  <si>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</si>
  <si>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</si>
  <si>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</si>
  <si>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</si>
  <si>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</si>
  <si>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</si>
  <si>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</si>
  <si>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</si>
  <si>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</si>
  <si>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</si>
  <si>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</si>
  <si>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</si>
  <si>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</si>
  <si>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</si>
  <si>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</si>
  <si>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</si>
  <si>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</si>
  <si>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</si>
  <si>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</si>
  <si>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</si>
  <si>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</si>
  <si>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</si>
  <si>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</si>
  <si>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</si>
  <si>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</si>
  <si>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</si>
  <si>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</si>
  <si>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</si>
  <si>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</si>
  <si>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</si>
  <si>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</si>
  <si>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</si>
  <si>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</si>
  <si>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</si>
  <si>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</si>
  <si>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</si>
  <si>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</si>
  <si>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</si>
  <si>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</si>
  <si>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</si>
  <si>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</si>
  <si>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</si>
  <si>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</si>
  <si>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</si>
  <si>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</si>
  <si>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</si>
  <si>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</si>
  <si>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</si>
  <si>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</si>
  <si>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</si>
  <si>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</si>
  <si>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</si>
  <si>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</si>
  <si>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</si>
  <si>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</si>
  <si>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</si>
  <si>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</si>
  <si>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r>
      <t>2023 True-Up
(</t>
    </r>
    <r>
      <rPr>
        <sz val="10"/>
        <rFont val="Arial"/>
        <family val="2"/>
      </rPr>
      <t>w/o Interest)</t>
    </r>
  </si>
  <si>
    <t>2023 Interest</t>
  </si>
  <si>
    <t>Total 2023
True-Up Surcharge / (Refund)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</si>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</sst>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4" xfId="0" pivotButton="1" applyBorder="1" applyProtection="1"/>
    <xf numFmtId="0" fontId="0" fillId="0" borderId="36" xfId="0" applyBorder="1" applyProtection="1"/>
    <xf numFmtId="17" fontId="0" fillId="0" borderId="34" xfId="0" applyNumberFormat="1" applyBorder="1" applyProtection="1"/>
    <xf numFmtId="17" fontId="0" fillId="0" borderId="37" xfId="0" applyNumberFormat="1" applyBorder="1" applyProtection="1"/>
    <xf numFmtId="17" fontId="0" fillId="0" borderId="38" xfId="0" applyNumberFormat="1" applyBorder="1" applyProtection="1"/>
    <xf numFmtId="166" fontId="0" fillId="0" borderId="34" xfId="0" applyNumberFormat="1" applyBorder="1" applyProtection="1"/>
    <xf numFmtId="166" fontId="0" fillId="0" borderId="37" xfId="0" applyNumberFormat="1" applyBorder="1" applyProtection="1"/>
    <xf numFmtId="166" fontId="0" fillId="0" borderId="38" xfId="0" applyNumberFormat="1" applyBorder="1" applyProtection="1"/>
    <xf numFmtId="0" fontId="0" fillId="0" borderId="39" xfId="0" applyBorder="1" applyProtection="1"/>
    <xf numFmtId="166" fontId="0" fillId="0" borderId="39" xfId="0" applyNumberFormat="1" applyBorder="1" applyProtection="1"/>
    <xf numFmtId="166" fontId="0" fillId="0" borderId="40" xfId="0" applyNumberFormat="1" applyBorder="1" applyProtection="1"/>
    <xf numFmtId="0" fontId="0" fillId="0" borderId="41" xfId="0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44" xfId="0" applyBorder="1" applyProtection="1"/>
    <xf numFmtId="0" fontId="0" fillId="0" borderId="45" xfId="0" applyBorder="1" applyProtection="1"/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4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166" fontId="25" fillId="0" borderId="39" xfId="0" applyNumberFormat="1" applyFont="1" applyBorder="1" applyProtection="1"/>
    <xf numFmtId="166" fontId="25" fillId="0" borderId="0" xfId="0" applyNumberFormat="1" applyFont="1" applyProtection="1"/>
    <xf numFmtId="166" fontId="25" fillId="0" borderId="40" xfId="0" applyNumberFormat="1" applyFont="1" applyBorder="1" applyProtection="1"/>
    <xf numFmtId="166" fontId="25" fillId="0" borderId="34" xfId="0" applyNumberFormat="1" applyFont="1" applyBorder="1" applyProtection="1"/>
    <xf numFmtId="166" fontId="25" fillId="0" borderId="37" xfId="0" applyNumberFormat="1" applyFont="1" applyBorder="1" applyProtection="1"/>
    <xf numFmtId="166" fontId="25" fillId="0" borderId="38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39168287035" createdVersion="6" refreshedVersion="8" recordCount="192" xr:uid="{00000000-000A-0000-FFFF-FFFFD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11.115245126635072" maxValue="11.115245126635072"/>
    </cacheField>
    <cacheField name="Actual True-Up Rate" numFmtId="164">
      <sharedItems containsSemiMixedTypes="0" containsString="0" containsNumber="1" minValue="8.5717057568714825" maxValue="8.5717057568714825"/>
    </cacheField>
    <cacheField name="True-Up Charge" numFmtId="164">
      <sharedItems containsSemiMixedTypes="0" containsString="0" containsNumber="1" minValue="8.5717057568714825" maxValue="36558.325053056869"/>
    </cacheField>
    <cacheField name="Invoiced*** Charge (proj.)" numFmtId="164">
      <sharedItems containsSemiMixedTypes="0" containsString="0" containsNumber="1" minValue="11.115245126635072" maxValue="47406.520465098583"/>
    </cacheField>
    <cacheField name="True-Up w/o Interest" numFmtId="164">
      <sharedItems containsSemiMixedTypes="0" containsString="0" containsNumber="1" minValue="-10848.195412041714" maxValue="-2.5435393697635895"/>
    </cacheField>
    <cacheField name="Interest" numFmtId="164">
      <sharedItems containsSemiMixedTypes="0" containsString="0" containsNumber="1" minValue="-890.80942385482831" maxValue="-0.2088650466248132"/>
    </cacheField>
    <cacheField name="2023 True Up Including Interest" numFmtId="164">
      <sharedItems containsSemiMixedTypes="0" containsString="0" containsNumber="1" minValue="-11739.004835896543" maxValue="-2.752404416388402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1739.004835896543" maxValue="-2.75240441638840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11.115245126635072"/>
    <n v="8.5717057568714825"/>
    <n v="24086.493176808865"/>
    <n v="31233.838805844553"/>
    <n v="-7147.345629035688"/>
    <n v="-586.91078101572509"/>
    <n v="-7734.2564100514128"/>
    <n v="0"/>
    <n v="0"/>
    <n v="0"/>
    <n v="-7734.2564100514128"/>
  </r>
  <r>
    <x v="1"/>
    <d v="2023-03-03T00:00:00"/>
    <d v="2023-03-24T00:00:00"/>
    <x v="0"/>
    <n v="9"/>
    <n v="2771"/>
    <n v="11.115245126635072"/>
    <n v="8.5717057568714825"/>
    <n v="23752.196652290877"/>
    <n v="30800.344245905784"/>
    <n v="-7048.1475936149072"/>
    <n v="-578.76504419735738"/>
    <n v="-7626.9126378122646"/>
    <n v="0"/>
    <n v="0"/>
    <n v="0"/>
    <n v="-7626.9126378122646"/>
  </r>
  <r>
    <x v="2"/>
    <d v="2023-04-05T00:00:00"/>
    <d v="2023-04-24T00:00:00"/>
    <x v="0"/>
    <n v="9"/>
    <n v="2389"/>
    <n v="11.115245126635072"/>
    <n v="8.5717057568714825"/>
    <n v="20477.805053165972"/>
    <n v="26554.320607531186"/>
    <n v="-6076.5155543652145"/>
    <n v="-498.97859638667876"/>
    <n v="-6575.4941507518934"/>
    <n v="0"/>
    <n v="0"/>
    <n v="0"/>
    <n v="-6575.4941507518934"/>
  </r>
  <r>
    <x v="3"/>
    <d v="2023-05-03T00:00:00"/>
    <d v="2023-05-24T00:00:00"/>
    <x v="0"/>
    <n v="9"/>
    <n v="2392"/>
    <n v="11.115245126635072"/>
    <n v="8.5717057568714825"/>
    <n v="20503.520170436586"/>
    <n v="26587.666342911092"/>
    <n v="-6084.1461724745059"/>
    <n v="-499.6051915265532"/>
    <n v="-6583.7513640010593"/>
    <n v="0"/>
    <n v="0"/>
    <n v="0"/>
    <n v="-6583.7513640010593"/>
  </r>
  <r>
    <x v="4"/>
    <d v="2023-06-05T00:00:00"/>
    <d v="2023-06-26T00:00:00"/>
    <x v="0"/>
    <n v="9"/>
    <n v="3231"/>
    <n v="11.115245126635072"/>
    <n v="8.5717057568714825"/>
    <n v="27695.181300451761"/>
    <n v="35913.357004157915"/>
    <n v="-8218.1757037061543"/>
    <n v="-674.84296564477143"/>
    <n v="-8893.0186693509258"/>
    <n v="0"/>
    <n v="0"/>
    <n v="0"/>
    <n v="-8893.0186693509258"/>
  </r>
  <r>
    <x v="5"/>
    <d v="2023-07-05T00:00:00"/>
    <d v="2023-07-24T00:00:00"/>
    <x v="0"/>
    <n v="9"/>
    <n v="4100"/>
    <n v="11.115245126635072"/>
    <n v="8.5717057568714825"/>
    <n v="35143.993603173076"/>
    <n v="45572.505019203796"/>
    <n v="-10428.51141603072"/>
    <n v="-856.34669116173416"/>
    <n v="-11284.858107192455"/>
    <n v="0"/>
    <n v="0"/>
    <n v="0"/>
    <n v="-11284.858107192455"/>
  </r>
  <r>
    <x v="6"/>
    <d v="2023-08-03T00:00:00"/>
    <d v="2023-08-24T00:00:00"/>
    <x v="0"/>
    <n v="9"/>
    <n v="3988"/>
    <n v="11.115245126635072"/>
    <n v="8.5717057568714825"/>
    <n v="34183.962558403473"/>
    <n v="44327.597565020667"/>
    <n v="-10143.635006617194"/>
    <n v="-832.95380593975506"/>
    <n v="-10976.588812556949"/>
    <n v="0"/>
    <n v="0"/>
    <n v="0"/>
    <n v="-10976.588812556949"/>
  </r>
  <r>
    <x v="7"/>
    <d v="2023-09-05T00:00:00"/>
    <d v="2023-09-25T00:00:00"/>
    <x v="0"/>
    <n v="9"/>
    <n v="4265"/>
    <n v="11.115245126635072"/>
    <n v="8.5717057568714825"/>
    <n v="36558.325053056869"/>
    <n v="47406.520465098583"/>
    <n v="-10848.195412041714"/>
    <n v="-890.80942385482831"/>
    <n v="-11739.004835896543"/>
    <n v="0"/>
    <n v="0"/>
    <n v="0"/>
    <n v="-11739.004835896543"/>
  </r>
  <r>
    <x v="8"/>
    <d v="2023-10-04T00:00:00"/>
    <d v="2023-10-24T00:00:00"/>
    <x v="0"/>
    <n v="9"/>
    <n v="4016"/>
    <n v="11.115245126635072"/>
    <n v="8.5717057568714825"/>
    <n v="34423.970319595872"/>
    <n v="44638.824428566448"/>
    <n v="-10214.854108970576"/>
    <n v="-838.80202724524986"/>
    <n v="-11053.656136215826"/>
    <n v="0"/>
    <n v="0"/>
    <n v="0"/>
    <n v="-11053.656136215826"/>
  </r>
  <r>
    <x v="9"/>
    <d v="2023-11-03T00:00:00"/>
    <d v="2023-11-24T00:00:00"/>
    <x v="0"/>
    <n v="9"/>
    <n v="3105"/>
    <n v="11.115245126635072"/>
    <n v="8.5717057568714825"/>
    <n v="26615.146375085955"/>
    <n v="34512.8361182019"/>
    <n v="-7897.689743115945"/>
    <n v="-648.52596977004498"/>
    <n v="-8546.2157128859908"/>
    <n v="0"/>
    <n v="0"/>
    <n v="0"/>
    <n v="-8546.2157128859908"/>
  </r>
  <r>
    <x v="10"/>
    <d v="2023-12-06T00:00:00"/>
    <d v="2023-12-25T00:00:00"/>
    <x v="0"/>
    <n v="9"/>
    <n v="2513"/>
    <n v="11.115245126635072"/>
    <n v="8.5717057568714825"/>
    <n v="21540.696567018036"/>
    <n v="27932.611003233935"/>
    <n v="-6391.9144362158986"/>
    <n v="-524.87786216815562"/>
    <n v="-6916.7922983840544"/>
    <n v="0"/>
    <n v="0"/>
    <n v="0"/>
    <n v="-6916.7922983840544"/>
  </r>
  <r>
    <x v="11"/>
    <d v="2024-01-03T00:00:00"/>
    <d v="2024-01-24T00:00:00"/>
    <x v="0"/>
    <n v="9"/>
    <n v="2474"/>
    <n v="11.115245126635072"/>
    <n v="8.5717057568714825"/>
    <n v="21206.400042500049"/>
    <n v="27499.116443295166"/>
    <n v="-6292.7164007951178"/>
    <n v="-516.73212534978791"/>
    <n v="-6809.4485261449054"/>
    <n v="0"/>
    <n v="0"/>
    <n v="0"/>
    <n v="-6809.4485261449054"/>
  </r>
  <r>
    <x v="0"/>
    <d v="2023-02-03T00:00:00"/>
    <d v="2023-02-24T00:00:00"/>
    <x v="1"/>
    <n v="9"/>
    <n v="2724"/>
    <n v="11.115245126635072"/>
    <n v="8.5717057568714825"/>
    <n v="23349.326481717919"/>
    <n v="30277.927724953937"/>
    <n v="-6928.6012432360185"/>
    <n v="-568.94838700599121"/>
    <n v="-7497.5496302420097"/>
    <n v="0"/>
    <n v="0"/>
    <n v="0"/>
    <n v="-7497.5496302420097"/>
  </r>
  <r>
    <x v="1"/>
    <d v="2023-03-03T00:00:00"/>
    <d v="2023-03-24T00:00:00"/>
    <x v="1"/>
    <n v="9"/>
    <n v="2757"/>
    <n v="11.115245126635072"/>
    <n v="8.5717057568714825"/>
    <n v="23632.192771694678"/>
    <n v="30644.730814132894"/>
    <n v="-7012.5380424382165"/>
    <n v="-575.84093354461004"/>
    <n v="-7588.3789759828269"/>
    <n v="0"/>
    <n v="0"/>
    <n v="0"/>
    <n v="-7588.3789759828269"/>
  </r>
  <r>
    <x v="2"/>
    <d v="2023-04-05T00:00:00"/>
    <d v="2023-04-24T00:00:00"/>
    <x v="1"/>
    <n v="9"/>
    <n v="2641"/>
    <n v="11.115245126635072"/>
    <n v="8.5717057568714825"/>
    <n v="22637.874903897584"/>
    <n v="29355.362379443224"/>
    <n v="-6717.4874755456403"/>
    <n v="-551.61258813613165"/>
    <n v="-7269.1000636817716"/>
    <n v="0"/>
    <n v="0"/>
    <n v="0"/>
    <n v="-7269.1000636817716"/>
  </r>
  <r>
    <x v="3"/>
    <d v="2023-05-03T00:00:00"/>
    <d v="2023-05-24T00:00:00"/>
    <x v="1"/>
    <n v="9"/>
    <n v="2417"/>
    <n v="11.115245126635072"/>
    <n v="8.5717057568714825"/>
    <n v="20717.812814358374"/>
    <n v="26865.54747107697"/>
    <n v="-6147.7346567185959"/>
    <n v="-504.82681769217351"/>
    <n v="-6652.5614744107697"/>
    <n v="0"/>
    <n v="0"/>
    <n v="0"/>
    <n v="-6652.5614744107697"/>
  </r>
  <r>
    <x v="4"/>
    <d v="2023-06-05T00:00:00"/>
    <d v="2023-06-26T00:00:00"/>
    <x v="1"/>
    <n v="9"/>
    <n v="2844"/>
    <n v="11.115245126635072"/>
    <n v="8.5717057568714825"/>
    <n v="24377.931172542496"/>
    <n v="31611.757140150145"/>
    <n v="-7233.8259676076486"/>
    <n v="-594.01219260096877"/>
    <n v="-7827.8381602086174"/>
    <n v="0"/>
    <n v="0"/>
    <n v="0"/>
    <n v="-7827.8381602086174"/>
  </r>
  <r>
    <x v="5"/>
    <d v="2023-07-05T00:00:00"/>
    <d v="2023-07-24T00:00:00"/>
    <x v="1"/>
    <n v="9"/>
    <n v="3500"/>
    <n v="11.115245126635072"/>
    <n v="8.5717057568714825"/>
    <n v="30000.97014905019"/>
    <n v="38903.357943222749"/>
    <n v="-8902.3877941725586"/>
    <n v="-731.02766318684621"/>
    <n v="-9633.4154573594042"/>
    <n v="0"/>
    <n v="0"/>
    <n v="0"/>
    <n v="-9633.4154573594042"/>
  </r>
  <r>
    <x v="6"/>
    <d v="2023-08-03T00:00:00"/>
    <d v="2023-08-24T00:00:00"/>
    <x v="1"/>
    <n v="9"/>
    <n v="3569"/>
    <n v="11.115245126635072"/>
    <n v="8.5717057568714825"/>
    <n v="30592.417846274322"/>
    <n v="39670.309856960572"/>
    <n v="-9077.8920106862497"/>
    <n v="-745.43935140395843"/>
    <n v="-9823.3313620902081"/>
    <n v="0"/>
    <n v="0"/>
    <n v="0"/>
    <n v="-9823.3313620902081"/>
  </r>
  <r>
    <x v="7"/>
    <d v="2023-09-05T00:00:00"/>
    <d v="2023-09-25T00:00:00"/>
    <x v="1"/>
    <n v="9"/>
    <n v="3766"/>
    <n v="11.115245126635072"/>
    <n v="8.5717057568714825"/>
    <n v="32281.043880378002"/>
    <n v="41860.01314690768"/>
    <n v="-9578.9692665296789"/>
    <n v="-786.58576558904645"/>
    <n v="-10365.555032118726"/>
    <n v="0"/>
    <n v="0"/>
    <n v="0"/>
    <n v="-10365.555032118726"/>
  </r>
  <r>
    <x v="8"/>
    <d v="2023-10-04T00:00:00"/>
    <d v="2023-10-24T00:00:00"/>
    <x v="1"/>
    <n v="9"/>
    <n v="3456"/>
    <n v="11.115245126635072"/>
    <n v="8.5717057568714825"/>
    <n v="29623.815095747843"/>
    <n v="38414.287157650811"/>
    <n v="-8790.4720619029686"/>
    <n v="-721.83760113535448"/>
    <n v="-9512.3096630383225"/>
    <n v="0"/>
    <n v="0"/>
    <n v="0"/>
    <n v="-9512.3096630383225"/>
  </r>
  <r>
    <x v="9"/>
    <d v="2023-11-03T00:00:00"/>
    <d v="2023-11-24T00:00:00"/>
    <x v="1"/>
    <n v="9"/>
    <n v="2810"/>
    <n v="11.115245126635072"/>
    <n v="8.5717057568714825"/>
    <n v="24086.493176808865"/>
    <n v="31233.838805844553"/>
    <n v="-7147.345629035688"/>
    <n v="-586.91078101572509"/>
    <n v="-7734.2564100514128"/>
    <n v="0"/>
    <n v="0"/>
    <n v="0"/>
    <n v="-7734.2564100514128"/>
  </r>
  <r>
    <x v="10"/>
    <d v="2023-12-06T00:00:00"/>
    <d v="2023-12-25T00:00:00"/>
    <x v="1"/>
    <n v="9"/>
    <n v="2499"/>
    <n v="11.115245126635072"/>
    <n v="8.5717057568714825"/>
    <n v="21420.692686421833"/>
    <n v="27776.997571461045"/>
    <n v="-6356.3048850392115"/>
    <n v="-521.95375151540827"/>
    <n v="-6878.2586365546194"/>
    <n v="0"/>
    <n v="0"/>
    <n v="0"/>
    <n v="-6878.2586365546194"/>
  </r>
  <r>
    <x v="11"/>
    <d v="2024-01-03T00:00:00"/>
    <d v="2024-01-24T00:00:00"/>
    <x v="1"/>
    <n v="9"/>
    <n v="2532"/>
    <n v="11.115245126635072"/>
    <n v="8.5717057568714825"/>
    <n v="21703.558976398595"/>
    <n v="28143.800660640001"/>
    <n v="-6440.2416842414059"/>
    <n v="-528.84629805402699"/>
    <n v="-6969.087982295433"/>
    <n v="0"/>
    <n v="0"/>
    <n v="0"/>
    <n v="-6969.087982295433"/>
  </r>
  <r>
    <x v="0"/>
    <d v="2023-02-03T00:00:00"/>
    <d v="2023-02-24T00:00:00"/>
    <x v="2"/>
    <n v="9"/>
    <n v="137"/>
    <n v="11.115245126635072"/>
    <n v="8.5717057568714825"/>
    <n v="1174.323688691393"/>
    <n v="1522.7885823490049"/>
    <n v="-348.46489365761181"/>
    <n v="-28.614511387599407"/>
    <n v="-377.07940504521122"/>
    <n v="0"/>
    <n v="0"/>
    <n v="0"/>
    <n v="-377.07940504521122"/>
  </r>
  <r>
    <x v="1"/>
    <d v="2023-03-03T00:00:00"/>
    <d v="2023-03-24T00:00:00"/>
    <x v="2"/>
    <n v="9"/>
    <n v="132"/>
    <n v="11.115245126635072"/>
    <n v="8.5717057568714825"/>
    <n v="1131.4651599070357"/>
    <n v="1467.2123567158294"/>
    <n v="-335.74719680879366"/>
    <n v="-27.570186154475344"/>
    <n v="-363.31738296326898"/>
    <n v="0"/>
    <n v="0"/>
    <n v="0"/>
    <n v="-363.31738296326898"/>
  </r>
  <r>
    <x v="2"/>
    <d v="2023-04-05T00:00:00"/>
    <d v="2023-04-24T00:00:00"/>
    <x v="2"/>
    <n v="9"/>
    <n v="148"/>
    <n v="11.115245126635072"/>
    <n v="8.5717057568714825"/>
    <n v="1268.6124520169794"/>
    <n v="1645.0562787419906"/>
    <n v="-376.44382672501115"/>
    <n v="-30.912026900472352"/>
    <n v="-407.35585362548352"/>
    <n v="0"/>
    <n v="0"/>
    <n v="0"/>
    <n v="-407.35585362548352"/>
  </r>
  <r>
    <x v="3"/>
    <d v="2023-05-03T00:00:00"/>
    <d v="2023-05-24T00:00:00"/>
    <x v="2"/>
    <n v="9"/>
    <n v="92"/>
    <n v="11.115245126635072"/>
    <n v="8.5717057568714825"/>
    <n v="788.5969296321764"/>
    <n v="1022.6025516504267"/>
    <n v="-234.00562201825028"/>
    <n v="-19.215584289482816"/>
    <n v="-253.2212063077331"/>
    <n v="0"/>
    <n v="0"/>
    <n v="0"/>
    <n v="-253.2212063077331"/>
  </r>
  <r>
    <x v="4"/>
    <d v="2023-06-05T00:00:00"/>
    <d v="2023-06-26T00:00:00"/>
    <x v="2"/>
    <n v="9"/>
    <n v="104"/>
    <n v="11.115245126635072"/>
    <n v="8.5717057568714825"/>
    <n v="891.45739871463422"/>
    <n v="1155.9854931700474"/>
    <n v="-264.52809445541322"/>
    <n v="-21.721964848980573"/>
    <n v="-286.2500593043938"/>
    <n v="0"/>
    <n v="0"/>
    <n v="0"/>
    <n v="-286.2500593043938"/>
  </r>
  <r>
    <x v="5"/>
    <d v="2023-07-05T00:00:00"/>
    <d v="2023-07-24T00:00:00"/>
    <x v="2"/>
    <n v="9"/>
    <n v="156"/>
    <n v="11.115245126635072"/>
    <n v="8.5717057568714825"/>
    <n v="1337.1860980719512"/>
    <n v="1733.9782397550712"/>
    <n v="-396.79214168312001"/>
    <n v="-32.582947273470865"/>
    <n v="-429.37508895659084"/>
    <n v="0"/>
    <n v="0"/>
    <n v="0"/>
    <n v="-429.37508895659084"/>
  </r>
  <r>
    <x v="6"/>
    <d v="2023-08-03T00:00:00"/>
    <d v="2023-08-24T00:00:00"/>
    <x v="2"/>
    <n v="9"/>
    <n v="155"/>
    <n v="11.115245126635072"/>
    <n v="8.5717057568714825"/>
    <n v="1328.6143923150798"/>
    <n v="1722.8629946284361"/>
    <n v="-394.24860231335629"/>
    <n v="-32.374082226846049"/>
    <n v="-426.62268454020233"/>
    <n v="0"/>
    <n v="0"/>
    <n v="0"/>
    <n v="-426.62268454020233"/>
  </r>
  <r>
    <x v="7"/>
    <d v="2023-09-05T00:00:00"/>
    <d v="2023-09-25T00:00:00"/>
    <x v="2"/>
    <n v="9"/>
    <n v="159"/>
    <n v="11.115245126635072"/>
    <n v="8.5717057568714825"/>
    <n v="1362.9012153425658"/>
    <n v="1767.3239751349765"/>
    <n v="-404.42275979241072"/>
    <n v="-33.209542413345297"/>
    <n v="-437.63230220575599"/>
    <n v="0"/>
    <n v="0"/>
    <n v="0"/>
    <n v="-437.63230220575599"/>
  </r>
  <r>
    <x v="8"/>
    <d v="2023-10-04T00:00:00"/>
    <d v="2023-10-24T00:00:00"/>
    <x v="2"/>
    <n v="9"/>
    <n v="144"/>
    <n v="11.115245126635072"/>
    <n v="8.5717057568714825"/>
    <n v="1234.3256289894935"/>
    <n v="1600.5952982354504"/>
    <n v="-366.26966924595695"/>
    <n v="-30.076566713973101"/>
    <n v="-396.34623595993003"/>
    <n v="0"/>
    <n v="0"/>
    <n v="0"/>
    <n v="-396.34623595993003"/>
  </r>
  <r>
    <x v="9"/>
    <d v="2023-11-03T00:00:00"/>
    <d v="2023-11-24T00:00:00"/>
    <x v="2"/>
    <n v="9"/>
    <n v="117"/>
    <n v="11.115245126635072"/>
    <n v="8.5717057568714825"/>
    <n v="1002.8895735539635"/>
    <n v="1300.4836798163035"/>
    <n v="-297.59410626234001"/>
    <n v="-24.437210455103148"/>
    <n v="-322.03131671744313"/>
    <n v="0"/>
    <n v="0"/>
    <n v="0"/>
    <n v="-322.03131671744313"/>
  </r>
  <r>
    <x v="10"/>
    <d v="2023-12-06T00:00:00"/>
    <d v="2023-12-25T00:00:00"/>
    <x v="2"/>
    <n v="9"/>
    <n v="134"/>
    <n v="11.115245126635072"/>
    <n v="8.5717057568714825"/>
    <n v="1148.6085714207786"/>
    <n v="1489.4428469690997"/>
    <n v="-340.8342755483211"/>
    <n v="-27.987916247724971"/>
    <n v="-368.82219179604607"/>
    <n v="0"/>
    <n v="0"/>
    <n v="0"/>
    <n v="-368.82219179604607"/>
  </r>
  <r>
    <x v="11"/>
    <d v="2024-01-03T00:00:00"/>
    <d v="2024-01-24T00:00:00"/>
    <x v="2"/>
    <n v="9"/>
    <n v="145"/>
    <n v="11.115245126635072"/>
    <n v="8.5717057568714825"/>
    <n v="1242.897334746365"/>
    <n v="1611.7105433620854"/>
    <n v="-368.81320861572044"/>
    <n v="-30.285431760597916"/>
    <n v="-399.09864037631837"/>
    <n v="0"/>
    <n v="0"/>
    <n v="0"/>
    <n v="-399.09864037631837"/>
  </r>
  <r>
    <x v="0"/>
    <d v="2023-02-03T00:00:00"/>
    <d v="2023-02-24T00:00:00"/>
    <x v="3"/>
    <n v="9"/>
    <n v="828"/>
    <n v="11.115245126635072"/>
    <n v="8.5717057568714825"/>
    <n v="7097.3723666895876"/>
    <n v="9203.4229648538403"/>
    <n v="-2106.0505981642527"/>
    <n v="-172.94025860534535"/>
    <n v="-2278.9908567695979"/>
    <n v="0"/>
    <n v="0"/>
    <n v="0"/>
    <n v="-2278.9908567695979"/>
  </r>
  <r>
    <x v="1"/>
    <d v="2023-03-03T00:00:00"/>
    <d v="2023-03-24T00:00:00"/>
    <x v="3"/>
    <n v="9"/>
    <n v="786"/>
    <n v="11.115245126635072"/>
    <n v="8.5717057568714825"/>
    <n v="6737.3607249009856"/>
    <n v="8736.5826695351661"/>
    <n v="-1999.2219446341805"/>
    <n v="-164.16792664710317"/>
    <n v="-2163.3898712812838"/>
    <n v="0"/>
    <n v="0"/>
    <n v="0"/>
    <n v="-2163.3898712812838"/>
  </r>
  <r>
    <x v="2"/>
    <d v="2023-04-05T00:00:00"/>
    <d v="2023-04-24T00:00:00"/>
    <x v="3"/>
    <n v="9"/>
    <n v="702"/>
    <n v="11.115245126635072"/>
    <n v="8.5717057568714825"/>
    <n v="6017.3374413237807"/>
    <n v="7802.9020788978205"/>
    <n v="-1785.5646375740398"/>
    <n v="-146.62326273061888"/>
    <n v="-1932.1879003046588"/>
    <n v="0"/>
    <n v="0"/>
    <n v="0"/>
    <n v="-1932.1879003046588"/>
  </r>
  <r>
    <x v="3"/>
    <d v="2023-05-03T00:00:00"/>
    <d v="2023-05-24T00:00:00"/>
    <x v="3"/>
    <n v="9"/>
    <n v="519"/>
    <n v="11.115245126635072"/>
    <n v="8.5717057568714825"/>
    <n v="4448.7152878162997"/>
    <n v="5768.812220723602"/>
    <n v="-1320.0969329073023"/>
    <n v="-108.40095919827804"/>
    <n v="-1428.4978921055804"/>
    <n v="0"/>
    <n v="0"/>
    <n v="0"/>
    <n v="-1428.4978921055804"/>
  </r>
  <r>
    <x v="4"/>
    <d v="2023-06-05T00:00:00"/>
    <d v="2023-06-26T00:00:00"/>
    <x v="3"/>
    <n v="9"/>
    <n v="720"/>
    <n v="11.115245126635072"/>
    <n v="8.5717057568714825"/>
    <n v="6171.6281449474673"/>
    <n v="8002.9764911772518"/>
    <n v="-1831.3483462297845"/>
    <n v="-150.38283356986551"/>
    <n v="-1981.7311797996499"/>
    <n v="0"/>
    <n v="0"/>
    <n v="0"/>
    <n v="-1981.7311797996499"/>
  </r>
  <r>
    <x v="5"/>
    <d v="2023-07-05T00:00:00"/>
    <d v="2023-07-24T00:00:00"/>
    <x v="3"/>
    <n v="9"/>
    <n v="975"/>
    <n v="11.115245126635072"/>
    <n v="8.5717057568714825"/>
    <n v="8357.4131129496946"/>
    <n v="10837.363998469194"/>
    <n v="-2479.9508855194999"/>
    <n v="-203.6434204591929"/>
    <n v="-2683.5943059786928"/>
    <n v="0"/>
    <n v="0"/>
    <n v="0"/>
    <n v="-2683.5943059786928"/>
  </r>
  <r>
    <x v="6"/>
    <d v="2023-08-03T00:00:00"/>
    <d v="2023-08-24T00:00:00"/>
    <x v="3"/>
    <n v="9"/>
    <n v="924"/>
    <n v="11.115245126635072"/>
    <n v="8.5717057568714825"/>
    <n v="7920.2561193492502"/>
    <n v="10270.486497010806"/>
    <n v="-2350.2303776615563"/>
    <n v="-192.9913030813274"/>
    <n v="-2543.2216807428836"/>
    <n v="0"/>
    <n v="0"/>
    <n v="0"/>
    <n v="-2543.2216807428836"/>
  </r>
  <r>
    <x v="7"/>
    <d v="2023-09-05T00:00:00"/>
    <d v="2023-09-25T00:00:00"/>
    <x v="3"/>
    <n v="9"/>
    <n v="1053"/>
    <n v="11.115245126635072"/>
    <n v="8.5717057568714825"/>
    <n v="9026.0061619856715"/>
    <n v="11704.353118346731"/>
    <n v="-2678.3469563610597"/>
    <n v="-219.93489409592831"/>
    <n v="-2898.2818504569882"/>
    <n v="0"/>
    <n v="0"/>
    <n v="0"/>
    <n v="-2898.2818504569882"/>
  </r>
  <r>
    <x v="8"/>
    <d v="2023-10-04T00:00:00"/>
    <d v="2023-10-24T00:00:00"/>
    <x v="3"/>
    <n v="9"/>
    <n v="905"/>
    <n v="11.115245126635072"/>
    <n v="8.5717057568714825"/>
    <n v="7757.3937099686918"/>
    <n v="10059.29683960474"/>
    <n v="-2301.9031296360481"/>
    <n v="-189.02286719545594"/>
    <n v="-2490.9259968315041"/>
    <n v="0"/>
    <n v="0"/>
    <n v="0"/>
    <n v="-2490.9259968315041"/>
  </r>
  <r>
    <x v="9"/>
    <d v="2023-11-03T00:00:00"/>
    <d v="2023-11-24T00:00:00"/>
    <x v="3"/>
    <n v="9"/>
    <n v="694"/>
    <n v="11.115245126635072"/>
    <n v="8.5717057568714825"/>
    <n v="5948.7637952688092"/>
    <n v="7713.9801178847401"/>
    <n v="-1765.2163226159309"/>
    <n v="-144.95234235762038"/>
    <n v="-1910.1686649735514"/>
    <n v="0"/>
    <n v="0"/>
    <n v="0"/>
    <n v="-1910.1686649735514"/>
  </r>
  <r>
    <x v="10"/>
    <d v="2023-12-06T00:00:00"/>
    <d v="2023-12-25T00:00:00"/>
    <x v="3"/>
    <n v="9"/>
    <n v="736"/>
    <n v="11.115245126635072"/>
    <n v="8.5717057568714825"/>
    <n v="6308.7754370574112"/>
    <n v="8180.8204132034134"/>
    <n v="-1872.0449761460022"/>
    <n v="-153.72467431586253"/>
    <n v="-2025.7696504618648"/>
    <n v="0"/>
    <n v="0"/>
    <n v="0"/>
    <n v="-2025.7696504618648"/>
  </r>
  <r>
    <x v="11"/>
    <d v="2024-01-03T00:00:00"/>
    <d v="2024-01-24T00:00:00"/>
    <x v="3"/>
    <n v="9"/>
    <n v="713"/>
    <n v="11.115245126635072"/>
    <n v="8.5717057568714825"/>
    <n v="6111.6262046493666"/>
    <n v="7925.1697752908067"/>
    <n v="-1813.5435706414401"/>
    <n v="-148.92077824349181"/>
    <n v="-1962.464348884932"/>
    <n v="0"/>
    <n v="0"/>
    <n v="0"/>
    <n v="-1962.464348884932"/>
  </r>
  <r>
    <x v="0"/>
    <d v="2023-02-03T00:00:00"/>
    <d v="2023-02-24T00:00:00"/>
    <x v="4"/>
    <n v="9"/>
    <n v="44"/>
    <n v="11.115245126635072"/>
    <n v="8.5717057568714825"/>
    <n v="377.15505330234521"/>
    <n v="489.07078557194319"/>
    <n v="-111.91573226959798"/>
    <n v="-9.1900620514917808"/>
    <n v="-121.10579432108976"/>
    <n v="0"/>
    <n v="0"/>
    <n v="0"/>
    <n v="-121.10579432108976"/>
  </r>
  <r>
    <x v="1"/>
    <d v="2023-03-03T00:00:00"/>
    <d v="2023-03-24T00:00:00"/>
    <x v="4"/>
    <n v="9"/>
    <n v="42"/>
    <n v="11.115245126635072"/>
    <n v="8.5717057568714825"/>
    <n v="360.01164178860228"/>
    <n v="466.84029531867304"/>
    <n v="-106.82865353007077"/>
    <n v="-8.7723319582421553"/>
    <n v="-115.60098548831292"/>
    <n v="0"/>
    <n v="0"/>
    <n v="0"/>
    <n v="-115.60098548831292"/>
  </r>
  <r>
    <x v="2"/>
    <d v="2023-04-05T00:00:00"/>
    <d v="2023-04-24T00:00:00"/>
    <x v="4"/>
    <n v="9"/>
    <n v="37"/>
    <n v="11.115245126635072"/>
    <n v="8.5717057568714825"/>
    <n v="317.15311300424486"/>
    <n v="411.26406968549765"/>
    <n v="-94.110956681252787"/>
    <n v="-7.7280067251180879"/>
    <n v="-101.83896340637088"/>
    <n v="0"/>
    <n v="0"/>
    <n v="0"/>
    <n v="-101.83896340637088"/>
  </r>
  <r>
    <x v="3"/>
    <d v="2023-05-03T00:00:00"/>
    <d v="2023-05-24T00:00:00"/>
    <x v="4"/>
    <n v="9"/>
    <n v="27"/>
    <n v="11.115245126635072"/>
    <n v="8.5717057568714825"/>
    <n v="231.43605543553002"/>
    <n v="300.11161841914696"/>
    <n v="-68.675562983616942"/>
    <n v="-5.6393562588699568"/>
    <n v="-74.314919242486894"/>
    <n v="0"/>
    <n v="0"/>
    <n v="0"/>
    <n v="-74.314919242486894"/>
  </r>
  <r>
    <x v="4"/>
    <d v="2023-06-05T00:00:00"/>
    <d v="2023-06-26T00:00:00"/>
    <x v="4"/>
    <n v="9"/>
    <n v="42"/>
    <n v="11.115245126635072"/>
    <n v="8.5717057568714825"/>
    <n v="360.01164178860228"/>
    <n v="466.84029531867304"/>
    <n v="-106.82865353007077"/>
    <n v="-8.7723319582421553"/>
    <n v="-115.60098548831292"/>
    <n v="0"/>
    <n v="0"/>
    <n v="0"/>
    <n v="-115.60098548831292"/>
  </r>
  <r>
    <x v="5"/>
    <d v="2023-07-05T00:00:00"/>
    <d v="2023-07-24T00:00:00"/>
    <x v="4"/>
    <n v="9"/>
    <n v="56"/>
    <n v="11.115245126635072"/>
    <n v="8.5717057568714825"/>
    <n v="480.01552238480303"/>
    <n v="622.45372709156402"/>
    <n v="-142.43820470676098"/>
    <n v="-11.696442610989539"/>
    <n v="-154.13464731775053"/>
    <n v="0"/>
    <n v="0"/>
    <n v="0"/>
    <n v="-154.13464731775053"/>
  </r>
  <r>
    <x v="6"/>
    <d v="2023-08-03T00:00:00"/>
    <d v="2023-08-24T00:00:00"/>
    <x v="4"/>
    <n v="9"/>
    <n v="54"/>
    <n v="11.115245126635072"/>
    <n v="8.5717057568714825"/>
    <n v="462.87211087106004"/>
    <n v="600.22323683829393"/>
    <n v="-137.35112596723388"/>
    <n v="-11.278712517739914"/>
    <n v="-148.62983848497379"/>
    <n v="0"/>
    <n v="0"/>
    <n v="0"/>
    <n v="-148.62983848497379"/>
  </r>
  <r>
    <x v="7"/>
    <d v="2023-09-05T00:00:00"/>
    <d v="2023-09-25T00:00:00"/>
    <x v="4"/>
    <n v="9"/>
    <n v="59"/>
    <n v="11.115245126635072"/>
    <n v="8.5717057568714825"/>
    <n v="505.73063965541746"/>
    <n v="655.79946247146927"/>
    <n v="-150.06882281605181"/>
    <n v="-12.323037750863978"/>
    <n v="-162.3918605669158"/>
    <n v="0"/>
    <n v="0"/>
    <n v="0"/>
    <n v="-162.3918605669158"/>
  </r>
  <r>
    <x v="8"/>
    <d v="2023-10-04T00:00:00"/>
    <d v="2023-10-24T00:00:00"/>
    <x v="4"/>
    <n v="9"/>
    <n v="54"/>
    <n v="11.115245126635072"/>
    <n v="8.5717057568714825"/>
    <n v="462.87211087106004"/>
    <n v="600.22323683829393"/>
    <n v="-137.35112596723388"/>
    <n v="-11.278712517739914"/>
    <n v="-148.62983848497379"/>
    <n v="0"/>
    <n v="0"/>
    <n v="0"/>
    <n v="-148.62983848497379"/>
  </r>
  <r>
    <x v="9"/>
    <d v="2023-11-03T00:00:00"/>
    <d v="2023-11-24T00:00:00"/>
    <x v="4"/>
    <n v="9"/>
    <n v="37"/>
    <n v="11.115245126635072"/>
    <n v="8.5717057568714825"/>
    <n v="317.15311300424486"/>
    <n v="411.26406968549765"/>
    <n v="-94.110956681252787"/>
    <n v="-7.7280067251180879"/>
    <n v="-101.83896340637088"/>
    <n v="0"/>
    <n v="0"/>
    <n v="0"/>
    <n v="-101.83896340637088"/>
  </r>
  <r>
    <x v="10"/>
    <d v="2023-12-06T00:00:00"/>
    <d v="2023-12-25T00:00:00"/>
    <x v="4"/>
    <n v="9"/>
    <n v="38"/>
    <n v="11.115245126635072"/>
    <n v="8.5717057568714825"/>
    <n v="325.72481876111635"/>
    <n v="422.37931481213275"/>
    <n v="-96.654496051016395"/>
    <n v="-7.9368717717429025"/>
    <n v="-104.5913678227593"/>
    <n v="0"/>
    <n v="0"/>
    <n v="0"/>
    <n v="-104.5913678227593"/>
  </r>
  <r>
    <x v="11"/>
    <d v="2024-01-03T00:00:00"/>
    <d v="2024-01-24T00:00:00"/>
    <x v="4"/>
    <n v="9"/>
    <n v="35"/>
    <n v="11.115245126635072"/>
    <n v="8.5717057568714825"/>
    <n v="300.00970149050187"/>
    <n v="389.0335794322275"/>
    <n v="-89.02387794172563"/>
    <n v="-7.3102766318684624"/>
    <n v="-96.334154573594091"/>
    <n v="0"/>
    <n v="0"/>
    <n v="0"/>
    <n v="-96.334154573594091"/>
  </r>
  <r>
    <x v="0"/>
    <d v="2023-02-03T00:00:00"/>
    <d v="2023-02-24T00:00:00"/>
    <x v="5"/>
    <n v="9"/>
    <n v="53"/>
    <n v="11.115245126635072"/>
    <n v="8.5717057568714825"/>
    <n v="454.30040511418855"/>
    <n v="589.10799171165877"/>
    <n v="-134.80758659747022"/>
    <n v="-11.069847471115102"/>
    <n v="-145.87743406858533"/>
    <n v="0"/>
    <n v="0"/>
    <n v="0"/>
    <n v="-145.87743406858533"/>
  </r>
  <r>
    <x v="1"/>
    <d v="2023-03-03T00:00:00"/>
    <d v="2023-03-24T00:00:00"/>
    <x v="5"/>
    <n v="9"/>
    <n v="55"/>
    <n v="11.115245126635072"/>
    <n v="8.5717057568714825"/>
    <n v="471.44381662793154"/>
    <n v="611.33848196492897"/>
    <n v="-139.89466533699743"/>
    <n v="-11.487577564364727"/>
    <n v="-151.38224290136216"/>
    <n v="0"/>
    <n v="0"/>
    <n v="0"/>
    <n v="-151.38224290136216"/>
  </r>
  <r>
    <x v="2"/>
    <d v="2023-04-05T00:00:00"/>
    <d v="2023-04-24T00:00:00"/>
    <x v="5"/>
    <n v="9"/>
    <n v="46"/>
    <n v="11.115245126635072"/>
    <n v="8.5717057568714825"/>
    <n v="394.2984648160882"/>
    <n v="511.30127582521334"/>
    <n v="-117.00281100912514"/>
    <n v="-9.6077921447414081"/>
    <n v="-126.61060315386655"/>
    <n v="0"/>
    <n v="0"/>
    <n v="0"/>
    <n v="-126.61060315386655"/>
  </r>
  <r>
    <x v="3"/>
    <d v="2023-05-03T00:00:00"/>
    <d v="2023-05-24T00:00:00"/>
    <x v="5"/>
    <n v="9"/>
    <n v="33"/>
    <n v="11.115245126635072"/>
    <n v="8.5717057568714825"/>
    <n v="282.86628997675894"/>
    <n v="366.80308917895735"/>
    <n v="-83.936799202198415"/>
    <n v="-6.892546538618836"/>
    <n v="-90.829345740817246"/>
    <n v="0"/>
    <n v="0"/>
    <n v="0"/>
    <n v="-90.829345740817246"/>
  </r>
  <r>
    <x v="4"/>
    <d v="2023-06-05T00:00:00"/>
    <d v="2023-06-26T00:00:00"/>
    <x v="5"/>
    <n v="9"/>
    <n v="44"/>
    <n v="11.115245126635072"/>
    <n v="8.5717057568714825"/>
    <n v="377.15505330234521"/>
    <n v="489.07078557194319"/>
    <n v="-111.91573226959798"/>
    <n v="-9.1900620514917808"/>
    <n v="-121.10579432108976"/>
    <n v="0"/>
    <n v="0"/>
    <n v="0"/>
    <n v="-121.10579432108976"/>
  </r>
  <r>
    <x v="5"/>
    <d v="2023-07-05T00:00:00"/>
    <d v="2023-07-24T00:00:00"/>
    <x v="5"/>
    <n v="9"/>
    <n v="55"/>
    <n v="11.115245126635072"/>
    <n v="8.5717057568714825"/>
    <n v="471.44381662793154"/>
    <n v="611.33848196492897"/>
    <n v="-139.89466533699743"/>
    <n v="-11.487577564364727"/>
    <n v="-151.38224290136216"/>
    <n v="0"/>
    <n v="0"/>
    <n v="0"/>
    <n v="-151.38224290136216"/>
  </r>
  <r>
    <x v="6"/>
    <d v="2023-08-03T00:00:00"/>
    <d v="2023-08-24T00:00:00"/>
    <x v="5"/>
    <n v="9"/>
    <n v="57"/>
    <n v="11.115245126635072"/>
    <n v="8.5717057568714825"/>
    <n v="488.58722814167453"/>
    <n v="633.56897221819906"/>
    <n v="-144.98174407652454"/>
    <n v="-11.905307657614353"/>
    <n v="-156.88705173413888"/>
    <n v="0"/>
    <n v="0"/>
    <n v="0"/>
    <n v="-156.88705173413888"/>
  </r>
  <r>
    <x v="7"/>
    <d v="2023-09-05T00:00:00"/>
    <d v="2023-09-25T00:00:00"/>
    <x v="5"/>
    <n v="9"/>
    <n v="56"/>
    <n v="11.115245126635072"/>
    <n v="8.5717057568714825"/>
    <n v="480.01552238480303"/>
    <n v="622.45372709156402"/>
    <n v="-142.43820470676098"/>
    <n v="-11.696442610989539"/>
    <n v="-154.13464731775053"/>
    <n v="0"/>
    <n v="0"/>
    <n v="0"/>
    <n v="-154.13464731775053"/>
  </r>
  <r>
    <x v="8"/>
    <d v="2023-10-04T00:00:00"/>
    <d v="2023-10-24T00:00:00"/>
    <x v="5"/>
    <n v="9"/>
    <n v="60"/>
    <n v="11.115245126635072"/>
    <n v="8.5717057568714825"/>
    <n v="514.3023454122889"/>
    <n v="666.91470759810431"/>
    <n v="-152.61236218581541"/>
    <n v="-12.531902797488792"/>
    <n v="-165.1442649833042"/>
    <n v="0"/>
    <n v="0"/>
    <n v="0"/>
    <n v="-165.1442649833042"/>
  </r>
  <r>
    <x v="9"/>
    <d v="2023-11-03T00:00:00"/>
    <d v="2023-11-24T00:00:00"/>
    <x v="5"/>
    <n v="9"/>
    <n v="48"/>
    <n v="11.115245126635072"/>
    <n v="8.5717057568714825"/>
    <n v="411.44187632983119"/>
    <n v="533.53176607848343"/>
    <n v="-122.08988974865224"/>
    <n v="-10.025522237991034"/>
    <n v="-132.11541198664327"/>
    <n v="0"/>
    <n v="0"/>
    <n v="0"/>
    <n v="-132.11541198664327"/>
  </r>
  <r>
    <x v="10"/>
    <d v="2023-12-06T00:00:00"/>
    <d v="2023-12-25T00:00:00"/>
    <x v="5"/>
    <n v="9"/>
    <n v="54"/>
    <n v="11.115245126635072"/>
    <n v="8.5717057568714825"/>
    <n v="462.87211087106004"/>
    <n v="600.22323683829393"/>
    <n v="-137.35112596723388"/>
    <n v="-11.278712517739914"/>
    <n v="-148.62983848497379"/>
    <n v="0"/>
    <n v="0"/>
    <n v="0"/>
    <n v="-148.62983848497379"/>
  </r>
  <r>
    <x v="11"/>
    <d v="2024-01-03T00:00:00"/>
    <d v="2024-01-24T00:00:00"/>
    <x v="5"/>
    <n v="9"/>
    <n v="55"/>
    <n v="11.115245126635072"/>
    <n v="8.5717057568714825"/>
    <n v="471.44381662793154"/>
    <n v="611.33848196492897"/>
    <n v="-139.89466533699743"/>
    <n v="-11.487577564364727"/>
    <n v="-151.38224290136216"/>
    <n v="0"/>
    <n v="0"/>
    <n v="0"/>
    <n v="-151.38224290136216"/>
  </r>
  <r>
    <x v="0"/>
    <d v="2023-02-03T00:00:00"/>
    <d v="2023-02-24T00:00:00"/>
    <x v="6"/>
    <n v="9"/>
    <n v="84"/>
    <n v="11.115245126635072"/>
    <n v="8.5717057568714825"/>
    <n v="720.02328357720455"/>
    <n v="933.68059063734609"/>
    <n v="-213.65730706014153"/>
    <n v="-17.544663916484311"/>
    <n v="-231.20197097662583"/>
    <n v="0"/>
    <n v="0"/>
    <n v="0"/>
    <n v="-231.20197097662583"/>
  </r>
  <r>
    <x v="1"/>
    <d v="2023-03-03T00:00:00"/>
    <d v="2023-03-24T00:00:00"/>
    <x v="6"/>
    <n v="9"/>
    <n v="83"/>
    <n v="11.115245126635072"/>
    <n v="8.5717057568714825"/>
    <n v="711.451577820333"/>
    <n v="922.56534551071093"/>
    <n v="-211.11376769037793"/>
    <n v="-17.335798869859495"/>
    <n v="-228.44956656023743"/>
    <n v="0"/>
    <n v="0"/>
    <n v="0"/>
    <n v="-228.44956656023743"/>
  </r>
  <r>
    <x v="2"/>
    <d v="2023-04-05T00:00:00"/>
    <d v="2023-04-24T00:00:00"/>
    <x v="6"/>
    <n v="9"/>
    <n v="76"/>
    <n v="11.115245126635072"/>
    <n v="8.5717057568714825"/>
    <n v="651.44963752223271"/>
    <n v="844.7586296242655"/>
    <n v="-193.30899210203279"/>
    <n v="-15.873743543485805"/>
    <n v="-209.18273564551859"/>
    <n v="0"/>
    <n v="0"/>
    <n v="0"/>
    <n v="-209.18273564551859"/>
  </r>
  <r>
    <x v="3"/>
    <d v="2023-05-03T00:00:00"/>
    <d v="2023-05-24T00:00:00"/>
    <x v="6"/>
    <n v="9"/>
    <n v="69"/>
    <n v="11.115245126635072"/>
    <n v="8.5717057568714825"/>
    <n v="591.4476972241323"/>
    <n v="766.95191373781995"/>
    <n v="-175.50421651368765"/>
    <n v="-14.411688217112111"/>
    <n v="-189.91590473079975"/>
    <n v="0"/>
    <n v="0"/>
    <n v="0"/>
    <n v="-189.91590473079975"/>
  </r>
  <r>
    <x v="4"/>
    <d v="2023-06-05T00:00:00"/>
    <d v="2023-06-26T00:00:00"/>
    <x v="6"/>
    <n v="9"/>
    <n v="99"/>
    <n v="11.115245126635072"/>
    <n v="8.5717057568714825"/>
    <n v="848.59886993027681"/>
    <n v="1100.4092675368722"/>
    <n v="-251.81039760659542"/>
    <n v="-20.67763961585651"/>
    <n v="-272.48803722245191"/>
    <n v="0"/>
    <n v="0"/>
    <n v="0"/>
    <n v="-272.48803722245191"/>
  </r>
  <r>
    <x v="5"/>
    <d v="2023-07-05T00:00:00"/>
    <d v="2023-07-24T00:00:00"/>
    <x v="6"/>
    <n v="9"/>
    <n v="149"/>
    <n v="11.115245126635072"/>
    <n v="8.5717057568714825"/>
    <n v="1277.184157773851"/>
    <n v="1656.1715238686256"/>
    <n v="-378.98736609477464"/>
    <n v="-31.120891947097167"/>
    <n v="-410.10825804187181"/>
    <n v="0"/>
    <n v="0"/>
    <n v="0"/>
    <n v="-410.10825804187181"/>
  </r>
  <r>
    <x v="6"/>
    <d v="2023-08-03T00:00:00"/>
    <d v="2023-08-24T00:00:00"/>
    <x v="6"/>
    <n v="9"/>
    <n v="148"/>
    <n v="11.115245126635072"/>
    <n v="8.5717057568714825"/>
    <n v="1268.6124520169794"/>
    <n v="1645.0562787419906"/>
    <n v="-376.44382672501115"/>
    <n v="-30.912026900472352"/>
    <n v="-407.35585362548352"/>
    <n v="0"/>
    <n v="0"/>
    <n v="0"/>
    <n v="-407.35585362548352"/>
  </r>
  <r>
    <x v="7"/>
    <d v="2023-09-05T00:00:00"/>
    <d v="2023-09-25T00:00:00"/>
    <x v="6"/>
    <n v="9"/>
    <n v="160"/>
    <n v="11.115245126635072"/>
    <n v="8.5717057568714825"/>
    <n v="1371.4729210994371"/>
    <n v="1778.4392202616116"/>
    <n v="-406.96629916217444"/>
    <n v="-33.418407459970112"/>
    <n v="-440.38470662214456"/>
    <n v="0"/>
    <n v="0"/>
    <n v="0"/>
    <n v="-440.38470662214456"/>
  </r>
  <r>
    <x v="8"/>
    <d v="2023-10-04T00:00:00"/>
    <d v="2023-10-24T00:00:00"/>
    <x v="6"/>
    <n v="9"/>
    <n v="155"/>
    <n v="11.115245126635072"/>
    <n v="8.5717057568714825"/>
    <n v="1328.6143923150798"/>
    <n v="1722.8629946284361"/>
    <n v="-394.24860231335629"/>
    <n v="-32.374082226846049"/>
    <n v="-426.62268454020233"/>
    <n v="0"/>
    <n v="0"/>
    <n v="0"/>
    <n v="-426.62268454020233"/>
  </r>
  <r>
    <x v="9"/>
    <d v="2023-11-03T00:00:00"/>
    <d v="2023-11-24T00:00:00"/>
    <x v="6"/>
    <n v="9"/>
    <n v="110"/>
    <n v="11.115245126635072"/>
    <n v="8.5717057568714825"/>
    <n v="942.88763325586308"/>
    <n v="1222.6769639298579"/>
    <n v="-279.78933067399487"/>
    <n v="-22.975155128729455"/>
    <n v="-302.76448580272432"/>
    <n v="0"/>
    <n v="0"/>
    <n v="0"/>
    <n v="-302.76448580272432"/>
  </r>
  <r>
    <x v="10"/>
    <d v="2023-12-06T00:00:00"/>
    <d v="2023-12-25T00:00:00"/>
    <x v="6"/>
    <n v="9"/>
    <n v="70"/>
    <n v="11.115245126635072"/>
    <n v="8.5717057568714825"/>
    <n v="600.01940298100374"/>
    <n v="778.067158864455"/>
    <n v="-178.04775588345126"/>
    <n v="-14.620553263736925"/>
    <n v="-192.66830914718818"/>
    <n v="0"/>
    <n v="0"/>
    <n v="0"/>
    <n v="-192.66830914718818"/>
  </r>
  <r>
    <x v="11"/>
    <d v="2024-01-03T00:00:00"/>
    <d v="2024-01-24T00:00:00"/>
    <x v="6"/>
    <n v="9"/>
    <n v="66"/>
    <n v="11.115245126635072"/>
    <n v="8.5717057568714825"/>
    <n v="565.73257995351787"/>
    <n v="733.6061783579147"/>
    <n v="-167.87359840439683"/>
    <n v="-13.785093077237672"/>
    <n v="-181.65869148163449"/>
    <n v="0"/>
    <n v="0"/>
    <n v="0"/>
    <n v="-181.65869148163449"/>
  </r>
  <r>
    <x v="0"/>
    <d v="2023-02-03T00:00:00"/>
    <d v="2023-02-24T00:00:00"/>
    <x v="7"/>
    <n v="9"/>
    <n v="63"/>
    <n v="11.115245126635072"/>
    <n v="8.5717057568714825"/>
    <n v="540.01746268290344"/>
    <n v="700.26044297800956"/>
    <n v="-160.24298029510612"/>
    <n v="-13.158497937363231"/>
    <n v="-173.40147823246934"/>
    <n v="0"/>
    <n v="0"/>
    <n v="0"/>
    <n v="-173.40147823246934"/>
  </r>
  <r>
    <x v="1"/>
    <d v="2023-03-03T00:00:00"/>
    <d v="2023-03-24T00:00:00"/>
    <x v="7"/>
    <n v="9"/>
    <n v="63"/>
    <n v="11.115245126635072"/>
    <n v="8.5717057568714825"/>
    <n v="540.01746268290344"/>
    <n v="700.26044297800956"/>
    <n v="-160.24298029510612"/>
    <n v="-13.158497937363231"/>
    <n v="-173.40147823246934"/>
    <n v="0"/>
    <n v="0"/>
    <n v="0"/>
    <n v="-173.40147823246934"/>
  </r>
  <r>
    <x v="2"/>
    <d v="2023-04-05T00:00:00"/>
    <d v="2023-04-24T00:00:00"/>
    <x v="7"/>
    <n v="9"/>
    <n v="67"/>
    <n v="11.115245126635072"/>
    <n v="8.5717057568714825"/>
    <n v="574.30428571038931"/>
    <n v="744.72142348454986"/>
    <n v="-170.41713777416055"/>
    <n v="-13.993958123862486"/>
    <n v="-184.41109589802304"/>
    <n v="0"/>
    <n v="0"/>
    <n v="0"/>
    <n v="-184.41109589802304"/>
  </r>
  <r>
    <x v="3"/>
    <d v="2023-05-03T00:00:00"/>
    <d v="2023-05-24T00:00:00"/>
    <x v="7"/>
    <n v="9"/>
    <n v="62"/>
    <n v="11.115245126635072"/>
    <n v="8.5717057568714825"/>
    <n v="531.44575692603189"/>
    <n v="689.14519785137452"/>
    <n v="-157.69944092534263"/>
    <n v="-12.949632890738418"/>
    <n v="-170.64907381608106"/>
    <n v="0"/>
    <n v="0"/>
    <n v="0"/>
    <n v="-170.64907381608106"/>
  </r>
  <r>
    <x v="4"/>
    <d v="2023-06-05T00:00:00"/>
    <d v="2023-06-26T00:00:00"/>
    <x v="7"/>
    <n v="9"/>
    <n v="51"/>
    <n v="11.115245126635072"/>
    <n v="8.5717057568714825"/>
    <n v="437.15699360044562"/>
    <n v="566.87750145838868"/>
    <n v="-129.72050785794306"/>
    <n v="-10.652117377865473"/>
    <n v="-140.37262523580853"/>
    <n v="0"/>
    <n v="0"/>
    <n v="0"/>
    <n v="-140.37262523580853"/>
  </r>
  <r>
    <x v="5"/>
    <d v="2023-07-05T00:00:00"/>
    <d v="2023-07-24T00:00:00"/>
    <x v="7"/>
    <n v="9"/>
    <n v="67"/>
    <n v="11.115245126635072"/>
    <n v="8.5717057568714825"/>
    <n v="574.30428571038931"/>
    <n v="744.72142348454986"/>
    <n v="-170.41713777416055"/>
    <n v="-13.993958123862486"/>
    <n v="-184.41109589802304"/>
    <n v="0"/>
    <n v="0"/>
    <n v="0"/>
    <n v="-184.41109589802304"/>
  </r>
  <r>
    <x v="6"/>
    <d v="2023-08-03T00:00:00"/>
    <d v="2023-08-24T00:00:00"/>
    <x v="7"/>
    <n v="9"/>
    <n v="66"/>
    <n v="11.115245126635072"/>
    <n v="8.5717057568714825"/>
    <n v="565.73257995351787"/>
    <n v="733.6061783579147"/>
    <n v="-167.87359840439683"/>
    <n v="-13.785093077237672"/>
    <n v="-181.65869148163449"/>
    <n v="0"/>
    <n v="0"/>
    <n v="0"/>
    <n v="-181.65869148163449"/>
  </r>
  <r>
    <x v="7"/>
    <d v="2023-09-05T00:00:00"/>
    <d v="2023-09-25T00:00:00"/>
    <x v="7"/>
    <n v="9"/>
    <n v="61"/>
    <n v="11.115245126635072"/>
    <n v="8.5717057568714825"/>
    <n v="522.87405116916045"/>
    <n v="678.02995272473936"/>
    <n v="-155.15590155557891"/>
    <n v="-12.740767844113606"/>
    <n v="-167.89666939969251"/>
    <n v="0"/>
    <n v="0"/>
    <n v="0"/>
    <n v="-167.89666939969251"/>
  </r>
  <r>
    <x v="8"/>
    <d v="2023-10-04T00:00:00"/>
    <d v="2023-10-24T00:00:00"/>
    <x v="7"/>
    <n v="9"/>
    <n v="55"/>
    <n v="11.115245126635072"/>
    <n v="8.5717057568714825"/>
    <n v="471.44381662793154"/>
    <n v="611.33848196492897"/>
    <n v="-139.89466533699743"/>
    <n v="-11.487577564364727"/>
    <n v="-151.38224290136216"/>
    <n v="0"/>
    <n v="0"/>
    <n v="0"/>
    <n v="-151.38224290136216"/>
  </r>
  <r>
    <x v="9"/>
    <d v="2023-11-03T00:00:00"/>
    <d v="2023-11-24T00:00:00"/>
    <x v="7"/>
    <n v="9"/>
    <n v="59"/>
    <n v="11.115245126635072"/>
    <n v="8.5717057568714825"/>
    <n v="505.73063965541746"/>
    <n v="655.79946247146927"/>
    <n v="-150.06882281605181"/>
    <n v="-12.323037750863978"/>
    <n v="-162.3918605669158"/>
    <n v="0"/>
    <n v="0"/>
    <n v="0"/>
    <n v="-162.3918605669158"/>
  </r>
  <r>
    <x v="10"/>
    <d v="2023-12-06T00:00:00"/>
    <d v="2023-12-25T00:00:00"/>
    <x v="7"/>
    <n v="9"/>
    <n v="63"/>
    <n v="11.115245126635072"/>
    <n v="8.5717057568714825"/>
    <n v="540.01746268290344"/>
    <n v="700.26044297800956"/>
    <n v="-160.24298029510612"/>
    <n v="-13.158497937363231"/>
    <n v="-173.40147823246934"/>
    <n v="0"/>
    <n v="0"/>
    <n v="0"/>
    <n v="-173.40147823246934"/>
  </r>
  <r>
    <x v="11"/>
    <d v="2024-01-03T00:00:00"/>
    <d v="2024-01-24T00:00:00"/>
    <x v="7"/>
    <n v="9"/>
    <n v="63"/>
    <n v="11.115245126635072"/>
    <n v="8.5717057568714825"/>
    <n v="540.01746268290344"/>
    <n v="700.26044297800956"/>
    <n v="-160.24298029510612"/>
    <n v="-13.158497937363231"/>
    <n v="-173.40147823246934"/>
    <n v="0"/>
    <n v="0"/>
    <n v="0"/>
    <n v="-173.40147823246934"/>
  </r>
  <r>
    <x v="0"/>
    <d v="2023-02-03T00:00:00"/>
    <d v="2023-02-24T00:00:00"/>
    <x v="8"/>
    <n v="9"/>
    <n v="967"/>
    <n v="11.115245126635072"/>
    <n v="8.5717057568714825"/>
    <n v="8288.839466894724"/>
    <n v="10748.442037456114"/>
    <n v="-2459.6025705613902"/>
    <n v="-201.97250008619437"/>
    <n v="-2661.5750706475847"/>
    <n v="0"/>
    <n v="0"/>
    <n v="0"/>
    <n v="-2661.5750706475847"/>
  </r>
  <r>
    <x v="1"/>
    <d v="2023-03-03T00:00:00"/>
    <d v="2023-03-24T00:00:00"/>
    <x v="8"/>
    <n v="9"/>
    <n v="955"/>
    <n v="11.115245126635072"/>
    <n v="8.5717057568714825"/>
    <n v="8185.9789978122662"/>
    <n v="10615.059095936494"/>
    <n v="-2429.0800981242282"/>
    <n v="-199.46611952669662"/>
    <n v="-2628.546217650925"/>
    <n v="0"/>
    <n v="0"/>
    <n v="0"/>
    <n v="-2628.546217650925"/>
  </r>
  <r>
    <x v="2"/>
    <d v="2023-04-05T00:00:00"/>
    <d v="2023-04-24T00:00:00"/>
    <x v="8"/>
    <n v="9"/>
    <n v="872"/>
    <n v="11.115245126635072"/>
    <n v="8.5717057568714825"/>
    <n v="7474.5274199919331"/>
    <n v="9692.4937504257832"/>
    <n v="-2217.9663304338501"/>
    <n v="-182.13032065683711"/>
    <n v="-2400.0966510906874"/>
    <n v="0"/>
    <n v="0"/>
    <n v="0"/>
    <n v="-2400.0966510906874"/>
  </r>
  <r>
    <x v="3"/>
    <d v="2023-05-03T00:00:00"/>
    <d v="2023-05-24T00:00:00"/>
    <x v="8"/>
    <n v="9"/>
    <n v="602"/>
    <n v="11.115245126635072"/>
    <n v="8.5717057568714825"/>
    <n v="5160.1668656366328"/>
    <n v="6691.3775662343132"/>
    <n v="-1531.2107005976804"/>
    <n v="-125.73675806813755"/>
    <n v="-1656.947458665818"/>
    <n v="0"/>
    <n v="0"/>
    <n v="0"/>
    <n v="-1656.947458665818"/>
  </r>
  <r>
    <x v="4"/>
    <d v="2023-06-05T00:00:00"/>
    <d v="2023-06-26T00:00:00"/>
    <x v="8"/>
    <n v="9"/>
    <n v="711"/>
    <n v="11.115245126635072"/>
    <n v="8.5717057568714825"/>
    <n v="6094.482793135624"/>
    <n v="7902.9392850375361"/>
    <n v="-1808.4564919019122"/>
    <n v="-148.50304815024219"/>
    <n v="-1956.9595400521544"/>
    <n v="0"/>
    <n v="0"/>
    <n v="0"/>
    <n v="-1956.9595400521544"/>
  </r>
  <r>
    <x v="5"/>
    <d v="2023-07-05T00:00:00"/>
    <d v="2023-07-24T00:00:00"/>
    <x v="8"/>
    <n v="9"/>
    <n v="936"/>
    <n v="11.115245126635072"/>
    <n v="8.5717057568714825"/>
    <n v="8023.1165884317079"/>
    <n v="10403.869438530428"/>
    <n v="-2380.75285009872"/>
    <n v="-195.49768364082519"/>
    <n v="-2576.2505337395451"/>
    <n v="0"/>
    <n v="0"/>
    <n v="0"/>
    <n v="-2576.2505337395451"/>
  </r>
  <r>
    <x v="6"/>
    <d v="2023-08-03T00:00:00"/>
    <d v="2023-08-24T00:00:00"/>
    <x v="8"/>
    <n v="9"/>
    <n v="932"/>
    <n v="11.115245126635072"/>
    <n v="8.5717057568714825"/>
    <n v="7988.8297654042217"/>
    <n v="10359.408458023887"/>
    <n v="-2370.5786926196652"/>
    <n v="-194.66222345432593"/>
    <n v="-2565.2409160739912"/>
    <n v="0"/>
    <n v="0"/>
    <n v="0"/>
    <n v="-2565.2409160739912"/>
  </r>
  <r>
    <x v="7"/>
    <d v="2023-09-05T00:00:00"/>
    <d v="2023-09-25T00:00:00"/>
    <x v="8"/>
    <n v="9"/>
    <n v="1025"/>
    <n v="11.115245126635072"/>
    <n v="8.5717057568714825"/>
    <n v="8785.998400793269"/>
    <n v="11393.126254800949"/>
    <n v="-2607.1278540076801"/>
    <n v="-214.08667279043354"/>
    <n v="-2821.2145267981136"/>
    <n v="0"/>
    <n v="0"/>
    <n v="0"/>
    <n v="-2821.2145267981136"/>
  </r>
  <r>
    <x v="8"/>
    <d v="2023-10-04T00:00:00"/>
    <d v="2023-10-24T00:00:00"/>
    <x v="8"/>
    <n v="9"/>
    <n v="934"/>
    <n v="11.115245126635072"/>
    <n v="8.5717057568714825"/>
    <n v="8005.9731769179643"/>
    <n v="10381.638948277157"/>
    <n v="-2375.6657713591931"/>
    <n v="-195.07995354757554"/>
    <n v="-2570.7457249067684"/>
    <n v="0"/>
    <n v="0"/>
    <n v="0"/>
    <n v="-2570.7457249067684"/>
  </r>
  <r>
    <x v="9"/>
    <d v="2023-11-03T00:00:00"/>
    <d v="2023-11-24T00:00:00"/>
    <x v="8"/>
    <n v="9"/>
    <n v="700"/>
    <n v="11.115245126635072"/>
    <n v="8.5717057568714825"/>
    <n v="6000.194029810038"/>
    <n v="7780.6715886445509"/>
    <n v="-1780.4775588345128"/>
    <n v="-146.20553263736923"/>
    <n v="-1926.6830914718821"/>
    <n v="0"/>
    <n v="0"/>
    <n v="0"/>
    <n v="-1926.6830914718821"/>
  </r>
  <r>
    <x v="10"/>
    <d v="2023-12-06T00:00:00"/>
    <d v="2023-12-25T00:00:00"/>
    <x v="8"/>
    <n v="9"/>
    <n v="867"/>
    <n v="11.115245126635072"/>
    <n v="8.5717057568714825"/>
    <n v="7431.6688912075751"/>
    <n v="9636.9175247926069"/>
    <n v="-2205.2486335850317"/>
    <n v="-181.08599542371306"/>
    <n v="-2386.3346290087447"/>
    <n v="0"/>
    <n v="0"/>
    <n v="0"/>
    <n v="-2386.3346290087447"/>
  </r>
  <r>
    <x v="11"/>
    <d v="2024-01-03T00:00:00"/>
    <d v="2024-01-24T00:00:00"/>
    <x v="8"/>
    <n v="9"/>
    <n v="916"/>
    <n v="11.115245126635072"/>
    <n v="8.5717057568714825"/>
    <n v="7851.6824732942778"/>
    <n v="10181.564535997726"/>
    <n v="-2329.8820627034484"/>
    <n v="-191.32038270832891"/>
    <n v="-2521.2024454117773"/>
    <n v="0"/>
    <n v="0"/>
    <n v="0"/>
    <n v="-2521.2024454117773"/>
  </r>
  <r>
    <x v="0"/>
    <d v="2023-02-03T00:00:00"/>
    <d v="2023-02-24T00:00:00"/>
    <x v="9"/>
    <n v="9"/>
    <n v="6"/>
    <n v="11.115245126635072"/>
    <n v="8.5717057568714825"/>
    <n v="51.430234541228899"/>
    <n v="66.691470759810429"/>
    <n v="-15.26123621858153"/>
    <n v="-1.2531902797488792"/>
    <n v="-16.514426498330408"/>
    <n v="0"/>
    <n v="0"/>
    <n v="0"/>
    <n v="-16.514426498330408"/>
  </r>
  <r>
    <x v="1"/>
    <d v="2023-03-03T00:00:00"/>
    <d v="2023-03-24T00:00:00"/>
    <x v="9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2"/>
    <d v="2023-04-05T00:00:00"/>
    <d v="2023-04-24T00:00:00"/>
    <x v="9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3"/>
    <d v="2023-05-03T00:00:00"/>
    <d v="2023-05-24T00:00:00"/>
    <x v="9"/>
    <n v="9"/>
    <n v="7"/>
    <n v="11.115245126635072"/>
    <n v="8.5717057568714825"/>
    <n v="60.001940298100379"/>
    <n v="77.806715886445502"/>
    <n v="-17.804775588345123"/>
    <n v="-1.4620553263736924"/>
    <n v="-19.266830914718817"/>
    <n v="0"/>
    <n v="0"/>
    <n v="0"/>
    <n v="-19.266830914718817"/>
  </r>
  <r>
    <x v="4"/>
    <d v="2023-06-05T00:00:00"/>
    <d v="2023-06-26T00:00:00"/>
    <x v="9"/>
    <n v="9"/>
    <n v="4"/>
    <n v="11.115245126635072"/>
    <n v="8.5717057568714825"/>
    <n v="34.28682302748593"/>
    <n v="44.460980506540288"/>
    <n v="-10.174157479054358"/>
    <n v="-0.8354601864992528"/>
    <n v="-11.009617665553611"/>
    <n v="0"/>
    <n v="0"/>
    <n v="0"/>
    <n v="-11.009617665553611"/>
  </r>
  <r>
    <x v="5"/>
    <d v="2023-07-05T00:00:00"/>
    <d v="2023-07-24T00:00:00"/>
    <x v="9"/>
    <n v="9"/>
    <n v="14"/>
    <n v="11.115245126635072"/>
    <n v="8.5717057568714825"/>
    <n v="120.00388059620076"/>
    <n v="155.613431772891"/>
    <n v="-35.609551176690246"/>
    <n v="-2.9241106527473848"/>
    <n v="-38.533661829437634"/>
    <n v="0"/>
    <n v="0"/>
    <n v="0"/>
    <n v="-38.533661829437634"/>
  </r>
  <r>
    <x v="6"/>
    <d v="2023-08-03T00:00:00"/>
    <d v="2023-08-24T00:00:00"/>
    <x v="9"/>
    <n v="9"/>
    <n v="13"/>
    <n v="11.115245126635072"/>
    <n v="8.5717057568714825"/>
    <n v="111.43217483932928"/>
    <n v="144.49818664625593"/>
    <n v="-33.066011806926653"/>
    <n v="-2.7152456061225716"/>
    <n v="-35.781257413049225"/>
    <n v="0"/>
    <n v="0"/>
    <n v="0"/>
    <n v="-35.781257413049225"/>
  </r>
  <r>
    <x v="7"/>
    <d v="2023-09-05T00:00:00"/>
    <d v="2023-09-25T00:00:00"/>
    <x v="9"/>
    <n v="9"/>
    <n v="19"/>
    <n v="11.115245126635072"/>
    <n v="8.5717057568714825"/>
    <n v="162.86240938055818"/>
    <n v="211.18965740606637"/>
    <n v="-48.327248025508197"/>
    <n v="-3.9684358858714512"/>
    <n v="-52.295683911379648"/>
    <n v="0"/>
    <n v="0"/>
    <n v="0"/>
    <n v="-52.295683911379648"/>
  </r>
  <r>
    <x v="8"/>
    <d v="2023-10-04T00:00:00"/>
    <d v="2023-10-24T00:00:00"/>
    <x v="9"/>
    <n v="9"/>
    <n v="18"/>
    <n v="11.115245126635072"/>
    <n v="8.5717057568714825"/>
    <n v="154.29070362368668"/>
    <n v="200.0744122794313"/>
    <n v="-45.783708655744618"/>
    <n v="-3.7595708392466376"/>
    <n v="-49.543279494991253"/>
    <n v="0"/>
    <n v="0"/>
    <n v="0"/>
    <n v="-49.543279494991253"/>
  </r>
  <r>
    <x v="9"/>
    <d v="2023-11-03T00:00:00"/>
    <d v="2023-11-24T00:00:00"/>
    <x v="9"/>
    <n v="9"/>
    <n v="6"/>
    <n v="11.115245126635072"/>
    <n v="8.5717057568714825"/>
    <n v="51.430234541228899"/>
    <n v="66.691470759810429"/>
    <n v="-15.26123621858153"/>
    <n v="-1.2531902797488792"/>
    <n v="-16.514426498330408"/>
    <n v="0"/>
    <n v="0"/>
    <n v="0"/>
    <n v="-16.514426498330408"/>
  </r>
  <r>
    <x v="10"/>
    <d v="2023-12-06T00:00:00"/>
    <d v="2023-12-25T00:00:00"/>
    <x v="9"/>
    <n v="9"/>
    <n v="6"/>
    <n v="11.115245126635072"/>
    <n v="8.5717057568714825"/>
    <n v="51.430234541228899"/>
    <n v="66.691470759810429"/>
    <n v="-15.26123621858153"/>
    <n v="-1.2531902797488792"/>
    <n v="-16.514426498330408"/>
    <n v="0"/>
    <n v="0"/>
    <n v="0"/>
    <n v="-16.514426498330408"/>
  </r>
  <r>
    <x v="11"/>
    <d v="2024-01-03T00:00:00"/>
    <d v="2024-01-24T00:00:00"/>
    <x v="9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0"/>
    <d v="2023-02-03T00:00:00"/>
    <d v="2023-02-24T00:00:00"/>
    <x v="10"/>
    <n v="9"/>
    <n v="4"/>
    <n v="11.115245126635072"/>
    <n v="8.5717057568714825"/>
    <n v="34.28682302748593"/>
    <n v="44.460980506540288"/>
    <n v="-10.174157479054358"/>
    <n v="-0.8354601864992528"/>
    <n v="-11.009617665553611"/>
    <n v="0"/>
    <n v="0"/>
    <n v="0"/>
    <n v="-11.009617665553611"/>
  </r>
  <r>
    <x v="1"/>
    <d v="2023-03-03T00:00:00"/>
    <d v="2023-03-24T00:00:00"/>
    <x v="10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2"/>
    <d v="2023-04-05T00:00:00"/>
    <d v="2023-04-24T00:00:00"/>
    <x v="10"/>
    <n v="9"/>
    <n v="1"/>
    <n v="11.115245126635072"/>
    <n v="8.5717057568714825"/>
    <n v="8.5717057568714825"/>
    <n v="11.115245126635072"/>
    <n v="-2.5435393697635895"/>
    <n v="-0.2088650466248132"/>
    <n v="-2.7524044163884027"/>
    <n v="0"/>
    <n v="0"/>
    <n v="0"/>
    <n v="-2.7524044163884027"/>
  </r>
  <r>
    <x v="3"/>
    <d v="2023-05-03T00:00:00"/>
    <d v="2023-05-24T00:00:00"/>
    <x v="10"/>
    <n v="9"/>
    <n v="7"/>
    <n v="11.115245126635072"/>
    <n v="8.5717057568714825"/>
    <n v="60.001940298100379"/>
    <n v="77.806715886445502"/>
    <n v="-17.804775588345123"/>
    <n v="-1.4620553263736924"/>
    <n v="-19.266830914718817"/>
    <n v="0"/>
    <n v="0"/>
    <n v="0"/>
    <n v="-19.266830914718817"/>
  </r>
  <r>
    <x v="4"/>
    <d v="2023-06-05T00:00:00"/>
    <d v="2023-06-26T00:00:00"/>
    <x v="10"/>
    <n v="9"/>
    <n v="3"/>
    <n v="11.115245126635072"/>
    <n v="8.5717057568714825"/>
    <n v="25.715117270614449"/>
    <n v="33.345735379905214"/>
    <n v="-7.630618109290765"/>
    <n v="-0.6265951398744396"/>
    <n v="-8.2572132491652042"/>
    <n v="0"/>
    <n v="0"/>
    <n v="0"/>
    <n v="-8.2572132491652042"/>
  </r>
  <r>
    <x v="5"/>
    <d v="2023-07-05T00:00:00"/>
    <d v="2023-07-24T00:00:00"/>
    <x v="10"/>
    <n v="9"/>
    <n v="7"/>
    <n v="11.115245126635072"/>
    <n v="8.5717057568714825"/>
    <n v="60.001940298100379"/>
    <n v="77.806715886445502"/>
    <n v="-17.804775588345123"/>
    <n v="-1.4620553263736924"/>
    <n v="-19.266830914718817"/>
    <n v="0"/>
    <n v="0"/>
    <n v="0"/>
    <n v="-19.266830914718817"/>
  </r>
  <r>
    <x v="6"/>
    <d v="2023-08-03T00:00:00"/>
    <d v="2023-08-24T00:00:00"/>
    <x v="10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7"/>
    <d v="2023-09-05T00:00:00"/>
    <d v="2023-09-25T00:00:00"/>
    <x v="10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8"/>
    <d v="2023-10-04T00:00:00"/>
    <d v="2023-10-24T00:00:00"/>
    <x v="10"/>
    <n v="9"/>
    <n v="6"/>
    <n v="11.115245126635072"/>
    <n v="8.5717057568714825"/>
    <n v="51.430234541228899"/>
    <n v="66.691470759810429"/>
    <n v="-15.26123621858153"/>
    <n v="-1.2531902797488792"/>
    <n v="-16.514426498330408"/>
    <n v="0"/>
    <n v="0"/>
    <n v="0"/>
    <n v="-16.514426498330408"/>
  </r>
  <r>
    <x v="9"/>
    <d v="2023-11-03T00:00:00"/>
    <d v="2023-11-24T00:00:00"/>
    <x v="10"/>
    <n v="9"/>
    <n v="5"/>
    <n v="11.115245126635072"/>
    <n v="8.5717057568714825"/>
    <n v="42.858528784357411"/>
    <n v="55.576225633175362"/>
    <n v="-12.717696848817951"/>
    <n v="-1.044325233124066"/>
    <n v="-13.762022081942018"/>
    <n v="0"/>
    <n v="0"/>
    <n v="0"/>
    <n v="-13.762022081942018"/>
  </r>
  <r>
    <x v="10"/>
    <d v="2023-12-06T00:00:00"/>
    <d v="2023-12-25T00:00:00"/>
    <x v="10"/>
    <n v="9"/>
    <n v="4"/>
    <n v="11.115245126635072"/>
    <n v="8.5717057568714825"/>
    <n v="34.28682302748593"/>
    <n v="44.460980506540288"/>
    <n v="-10.174157479054358"/>
    <n v="-0.8354601864992528"/>
    <n v="-11.009617665553611"/>
    <n v="0"/>
    <n v="0"/>
    <n v="0"/>
    <n v="-11.009617665553611"/>
  </r>
  <r>
    <x v="11"/>
    <d v="2024-01-03T00:00:00"/>
    <d v="2024-01-24T00:00:00"/>
    <x v="10"/>
    <n v="9"/>
    <n v="4"/>
    <n v="11.115245126635072"/>
    <n v="8.5717057568714825"/>
    <n v="34.28682302748593"/>
    <n v="44.460980506540288"/>
    <n v="-10.174157479054358"/>
    <n v="-0.8354601864992528"/>
    <n v="-11.009617665553611"/>
    <n v="0"/>
    <n v="0"/>
    <n v="0"/>
    <n v="-11.009617665553611"/>
  </r>
  <r>
    <x v="0"/>
    <d v="2023-02-03T00:00:00"/>
    <d v="2023-02-24T00:00:00"/>
    <x v="11"/>
    <n v="9"/>
    <n v="113"/>
    <n v="11.115245126635072"/>
    <n v="8.5717057568714825"/>
    <n v="968.60275052647751"/>
    <n v="1256.0226993097631"/>
    <n v="-287.41994878328558"/>
    <n v="-23.60175026860389"/>
    <n v="-311.02169905188947"/>
    <n v="0"/>
    <n v="0"/>
    <n v="0"/>
    <n v="-311.02169905188947"/>
  </r>
  <r>
    <x v="1"/>
    <d v="2023-03-03T00:00:00"/>
    <d v="2023-03-24T00:00:00"/>
    <x v="11"/>
    <n v="9"/>
    <n v="108"/>
    <n v="11.115245126635072"/>
    <n v="8.5717057568714825"/>
    <n v="925.74422174212009"/>
    <n v="1200.4464736765879"/>
    <n v="-274.70225193446777"/>
    <n v="-22.557425035479827"/>
    <n v="-297.25967696994758"/>
    <n v="0"/>
    <n v="0"/>
    <n v="0"/>
    <n v="-297.25967696994758"/>
  </r>
  <r>
    <x v="2"/>
    <d v="2023-04-05T00:00:00"/>
    <d v="2023-04-24T00:00:00"/>
    <x v="11"/>
    <n v="9"/>
    <n v="96"/>
    <n v="11.115245126635072"/>
    <n v="8.5717057568714825"/>
    <n v="822.88375265966238"/>
    <n v="1067.0635321569669"/>
    <n v="-244.17977949730448"/>
    <n v="-20.051044475982067"/>
    <n v="-264.23082397328653"/>
    <n v="0"/>
    <n v="0"/>
    <n v="0"/>
    <n v="-264.23082397328653"/>
  </r>
  <r>
    <x v="3"/>
    <d v="2023-05-03T00:00:00"/>
    <d v="2023-05-24T00:00:00"/>
    <x v="11"/>
    <n v="9"/>
    <n v="91"/>
    <n v="11.115245126635072"/>
    <n v="8.5717057568714825"/>
    <n v="780.02522387530496"/>
    <n v="1011.4873065237915"/>
    <n v="-231.46208264848656"/>
    <n v="-19.006719242858001"/>
    <n v="-250.46880189134455"/>
    <n v="0"/>
    <n v="0"/>
    <n v="0"/>
    <n v="-250.46880189134455"/>
  </r>
  <r>
    <x v="4"/>
    <d v="2023-06-05T00:00:00"/>
    <d v="2023-06-26T00:00:00"/>
    <x v="11"/>
    <n v="9"/>
    <n v="125"/>
    <n v="11.115245126635072"/>
    <n v="8.5717057568714825"/>
    <n v="1071.4632196089353"/>
    <n v="1389.4056408293841"/>
    <n v="-317.94242122044875"/>
    <n v="-26.10813082810165"/>
    <n v="-344.0505520485504"/>
    <n v="0"/>
    <n v="0"/>
    <n v="0"/>
    <n v="-344.0505520485504"/>
  </r>
  <r>
    <x v="5"/>
    <d v="2023-07-05T00:00:00"/>
    <d v="2023-07-24T00:00:00"/>
    <x v="11"/>
    <n v="9"/>
    <n v="167"/>
    <n v="11.115245126635072"/>
    <n v="8.5717057568714825"/>
    <n v="1431.4748613975376"/>
    <n v="1856.2459361480571"/>
    <n v="-424.77107475051957"/>
    <n v="-34.880462786343806"/>
    <n v="-459.65153753686337"/>
    <n v="0"/>
    <n v="0"/>
    <n v="0"/>
    <n v="-459.65153753686337"/>
  </r>
  <r>
    <x v="6"/>
    <d v="2023-08-03T00:00:00"/>
    <d v="2023-08-24T00:00:00"/>
    <x v="11"/>
    <n v="9"/>
    <n v="160"/>
    <n v="11.115245126635072"/>
    <n v="8.5717057568714825"/>
    <n v="1371.4729210994371"/>
    <n v="1778.4392202616116"/>
    <n v="-406.96629916217444"/>
    <n v="-33.418407459970112"/>
    <n v="-440.38470662214456"/>
    <n v="0"/>
    <n v="0"/>
    <n v="0"/>
    <n v="-440.38470662214456"/>
  </r>
  <r>
    <x v="7"/>
    <d v="2023-09-05T00:00:00"/>
    <d v="2023-09-25T00:00:00"/>
    <x v="11"/>
    <n v="9"/>
    <n v="181"/>
    <n v="11.115245126635072"/>
    <n v="8.5717057568714825"/>
    <n v="1551.4787419937384"/>
    <n v="2011.859367920948"/>
    <n v="-460.38062592720962"/>
    <n v="-37.804573439091186"/>
    <n v="-498.18519936630082"/>
    <n v="0"/>
    <n v="0"/>
    <n v="0"/>
    <n v="-498.18519936630082"/>
  </r>
  <r>
    <x v="8"/>
    <d v="2023-10-04T00:00:00"/>
    <d v="2023-10-24T00:00:00"/>
    <x v="11"/>
    <n v="9"/>
    <n v="157"/>
    <n v="11.115245126635072"/>
    <n v="8.5717057568714825"/>
    <n v="1345.7578038288227"/>
    <n v="1745.0934848817062"/>
    <n v="-399.3356810528835"/>
    <n v="-32.791812320095673"/>
    <n v="-432.12749337297919"/>
    <n v="0"/>
    <n v="0"/>
    <n v="0"/>
    <n v="-432.12749337297919"/>
  </r>
  <r>
    <x v="9"/>
    <d v="2023-11-03T00:00:00"/>
    <d v="2023-11-24T00:00:00"/>
    <x v="11"/>
    <n v="9"/>
    <n v="118"/>
    <n v="11.115245126635072"/>
    <n v="8.5717057568714825"/>
    <n v="1011.4612793108349"/>
    <n v="1311.5989249429385"/>
    <n v="-300.13764563210361"/>
    <n v="-24.646075501727957"/>
    <n v="-324.78372113383159"/>
    <n v="0"/>
    <n v="0"/>
    <n v="0"/>
    <n v="-324.78372113383159"/>
  </r>
  <r>
    <x v="10"/>
    <d v="2023-12-06T00:00:00"/>
    <d v="2023-12-25T00:00:00"/>
    <x v="11"/>
    <n v="9"/>
    <n v="102"/>
    <n v="11.115245126635072"/>
    <n v="8.5717057568714825"/>
    <n v="874.31398720089123"/>
    <n v="1133.7550029167774"/>
    <n v="-259.44101571588612"/>
    <n v="-21.304234755730945"/>
    <n v="-280.74525047161706"/>
    <n v="0"/>
    <n v="0"/>
    <n v="0"/>
    <n v="-280.74525047161706"/>
  </r>
  <r>
    <x v="11"/>
    <d v="2024-01-03T00:00:00"/>
    <d v="2024-01-24T00:00:00"/>
    <x v="11"/>
    <n v="9"/>
    <n v="99"/>
    <n v="11.115245126635072"/>
    <n v="8.5717057568714825"/>
    <n v="848.59886993027681"/>
    <n v="1100.4092675368722"/>
    <n v="-251.81039760659542"/>
    <n v="-20.67763961585651"/>
    <n v="-272.48803722245191"/>
    <n v="0"/>
    <n v="0"/>
    <n v="0"/>
    <n v="-272.48803722245191"/>
  </r>
  <r>
    <x v="0"/>
    <d v="2023-02-03T00:00:00"/>
    <d v="2023-02-24T00:00:00"/>
    <x v="12"/>
    <n v="9"/>
    <n v="7"/>
    <n v="11.115245126635072"/>
    <n v="8.5717057568714825"/>
    <n v="60.001940298100379"/>
    <n v="77.806715886445502"/>
    <n v="-17.804775588345123"/>
    <n v="-1.4620553263736924"/>
    <n v="-19.266830914718817"/>
    <n v="0"/>
    <n v="0"/>
    <n v="0"/>
    <n v="-19.266830914718817"/>
  </r>
  <r>
    <x v="1"/>
    <d v="2023-03-03T00:00:00"/>
    <d v="2023-03-24T00:00:00"/>
    <x v="12"/>
    <n v="9"/>
    <n v="10"/>
    <n v="11.115245126635072"/>
    <n v="8.5717057568714825"/>
    <n v="85.717057568714822"/>
    <n v="111.15245126635072"/>
    <n v="-25.435393697635902"/>
    <n v="-2.088650466248132"/>
    <n v="-27.524044163884035"/>
    <n v="0"/>
    <n v="0"/>
    <n v="0"/>
    <n v="-27.524044163884035"/>
  </r>
  <r>
    <x v="2"/>
    <d v="2023-04-05T00:00:00"/>
    <d v="2023-04-24T00:00:00"/>
    <x v="12"/>
    <n v="9"/>
    <n v="8"/>
    <n v="11.115245126635072"/>
    <n v="8.5717057568714825"/>
    <n v="68.57364605497186"/>
    <n v="88.921961013080576"/>
    <n v="-20.348314958108716"/>
    <n v="-1.6709203729985056"/>
    <n v="-22.019235331107222"/>
    <n v="0"/>
    <n v="0"/>
    <n v="0"/>
    <n v="-22.019235331107222"/>
  </r>
  <r>
    <x v="3"/>
    <d v="2023-05-03T00:00:00"/>
    <d v="2023-05-24T00:00:00"/>
    <x v="12"/>
    <n v="9"/>
    <n v="8"/>
    <n v="11.115245126635072"/>
    <n v="8.5717057568714825"/>
    <n v="68.57364605497186"/>
    <n v="88.921961013080576"/>
    <n v="-20.348314958108716"/>
    <n v="-1.6709203729985056"/>
    <n v="-22.019235331107222"/>
    <n v="0"/>
    <n v="0"/>
    <n v="0"/>
    <n v="-22.019235331107222"/>
  </r>
  <r>
    <x v="4"/>
    <d v="2023-06-05T00:00:00"/>
    <d v="2023-06-26T00:00:00"/>
    <x v="12"/>
    <n v="9"/>
    <n v="10"/>
    <n v="11.115245126635072"/>
    <n v="8.5717057568714825"/>
    <n v="85.717057568714822"/>
    <n v="111.15245126635072"/>
    <n v="-25.435393697635902"/>
    <n v="-2.088650466248132"/>
    <n v="-27.524044163884035"/>
    <n v="0"/>
    <n v="0"/>
    <n v="0"/>
    <n v="-27.524044163884035"/>
  </r>
  <r>
    <x v="5"/>
    <d v="2023-07-05T00:00:00"/>
    <d v="2023-07-24T00:00:00"/>
    <x v="12"/>
    <n v="9"/>
    <n v="12"/>
    <n v="11.115245126635072"/>
    <n v="8.5717057568714825"/>
    <n v="102.8604690824578"/>
    <n v="133.38294151962086"/>
    <n v="-30.52247243716306"/>
    <n v="-2.5063805594977584"/>
    <n v="-33.028852996660817"/>
    <n v="0"/>
    <n v="0"/>
    <n v="0"/>
    <n v="-33.028852996660817"/>
  </r>
  <r>
    <x v="6"/>
    <d v="2023-08-03T00:00:00"/>
    <d v="2023-08-24T00:00:00"/>
    <x v="12"/>
    <n v="9"/>
    <n v="14"/>
    <n v="11.115245126635072"/>
    <n v="8.5717057568714825"/>
    <n v="120.00388059620076"/>
    <n v="155.613431772891"/>
    <n v="-35.609551176690246"/>
    <n v="-2.9241106527473848"/>
    <n v="-38.533661829437634"/>
    <n v="0"/>
    <n v="0"/>
    <n v="0"/>
    <n v="-38.533661829437634"/>
  </r>
  <r>
    <x v="7"/>
    <d v="2023-09-05T00:00:00"/>
    <d v="2023-09-25T00:00:00"/>
    <x v="12"/>
    <n v="9"/>
    <n v="13"/>
    <n v="11.115245126635072"/>
    <n v="8.5717057568714825"/>
    <n v="111.43217483932928"/>
    <n v="144.49818664625593"/>
    <n v="-33.066011806926653"/>
    <n v="-2.7152456061225716"/>
    <n v="-35.781257413049225"/>
    <n v="0"/>
    <n v="0"/>
    <n v="0"/>
    <n v="-35.781257413049225"/>
  </r>
  <r>
    <x v="8"/>
    <d v="2023-10-04T00:00:00"/>
    <d v="2023-10-24T00:00:00"/>
    <x v="12"/>
    <n v="9"/>
    <n v="13"/>
    <n v="11.115245126635072"/>
    <n v="8.5717057568714825"/>
    <n v="111.43217483932928"/>
    <n v="144.49818664625593"/>
    <n v="-33.066011806926653"/>
    <n v="-2.7152456061225716"/>
    <n v="-35.781257413049225"/>
    <n v="0"/>
    <n v="0"/>
    <n v="0"/>
    <n v="-35.781257413049225"/>
  </r>
  <r>
    <x v="9"/>
    <d v="2023-11-03T00:00:00"/>
    <d v="2023-11-24T00:00:00"/>
    <x v="12"/>
    <n v="9"/>
    <n v="11"/>
    <n v="11.115245126635072"/>
    <n v="8.5717057568714825"/>
    <n v="94.288763325586302"/>
    <n v="122.2676963929858"/>
    <n v="-27.978933067399495"/>
    <n v="-2.2975155128729452"/>
    <n v="-30.27644858027244"/>
    <n v="0"/>
    <n v="0"/>
    <n v="0"/>
    <n v="-30.27644858027244"/>
  </r>
  <r>
    <x v="10"/>
    <d v="2023-12-06T00:00:00"/>
    <d v="2023-12-25T00:00:00"/>
    <x v="12"/>
    <n v="9"/>
    <n v="7"/>
    <n v="11.115245126635072"/>
    <n v="8.5717057568714825"/>
    <n v="60.001940298100379"/>
    <n v="77.806715886445502"/>
    <n v="-17.804775588345123"/>
    <n v="-1.4620553263736924"/>
    <n v="-19.266830914718817"/>
    <n v="0"/>
    <n v="0"/>
    <n v="0"/>
    <n v="-19.266830914718817"/>
  </r>
  <r>
    <x v="11"/>
    <d v="2024-01-03T00:00:00"/>
    <d v="2024-01-24T00:00:00"/>
    <x v="12"/>
    <n v="9"/>
    <n v="8"/>
    <n v="11.115245126635072"/>
    <n v="8.5717057568714825"/>
    <n v="68.57364605497186"/>
    <n v="88.921961013080576"/>
    <n v="-20.348314958108716"/>
    <n v="-1.6709203729985056"/>
    <n v="-22.019235331107222"/>
    <n v="0"/>
    <n v="0"/>
    <n v="0"/>
    <n v="-22.019235331107222"/>
  </r>
  <r>
    <x v="0"/>
    <d v="2023-02-03T00:00:00"/>
    <d v="2023-02-24T00:00:00"/>
    <x v="13"/>
    <n v="9"/>
    <n v="21"/>
    <n v="11.115245126635072"/>
    <n v="8.5717057568714825"/>
    <n v="180.00582089430114"/>
    <n v="233.42014765933652"/>
    <n v="-53.414326765035383"/>
    <n v="-4.3861659791210776"/>
    <n v="-57.800492744156458"/>
    <n v="0"/>
    <n v="0"/>
    <n v="0"/>
    <n v="-57.800492744156458"/>
  </r>
  <r>
    <x v="1"/>
    <d v="2023-03-03T00:00:00"/>
    <d v="2023-03-24T00:00:00"/>
    <x v="13"/>
    <n v="9"/>
    <n v="21"/>
    <n v="11.115245126635072"/>
    <n v="8.5717057568714825"/>
    <n v="180.00582089430114"/>
    <n v="233.42014765933652"/>
    <n v="-53.414326765035383"/>
    <n v="-4.3861659791210776"/>
    <n v="-57.800492744156458"/>
    <n v="0"/>
    <n v="0"/>
    <n v="0"/>
    <n v="-57.800492744156458"/>
  </r>
  <r>
    <x v="2"/>
    <d v="2023-04-05T00:00:00"/>
    <d v="2023-04-24T00:00:00"/>
    <x v="13"/>
    <n v="9"/>
    <n v="19"/>
    <n v="11.115245126635072"/>
    <n v="8.5717057568714825"/>
    <n v="162.86240938055818"/>
    <n v="211.18965740606637"/>
    <n v="-48.327248025508197"/>
    <n v="-3.9684358858714512"/>
    <n v="-52.295683911379648"/>
    <n v="0"/>
    <n v="0"/>
    <n v="0"/>
    <n v="-52.295683911379648"/>
  </r>
  <r>
    <x v="3"/>
    <d v="2023-05-03T00:00:00"/>
    <d v="2023-05-24T00:00:00"/>
    <x v="13"/>
    <n v="9"/>
    <n v="21"/>
    <n v="11.115245126635072"/>
    <n v="8.5717057568714825"/>
    <n v="180.00582089430114"/>
    <n v="233.42014765933652"/>
    <n v="-53.414326765035383"/>
    <n v="-4.3861659791210776"/>
    <n v="-57.800492744156458"/>
    <n v="0"/>
    <n v="0"/>
    <n v="0"/>
    <n v="-57.800492744156458"/>
  </r>
  <r>
    <x v="4"/>
    <d v="2023-06-05T00:00:00"/>
    <d v="2023-06-26T00:00:00"/>
    <x v="13"/>
    <n v="9"/>
    <n v="28"/>
    <n v="11.115245126635072"/>
    <n v="8.5717057568714825"/>
    <n v="240.00776119240152"/>
    <n v="311.22686354578201"/>
    <n v="-71.219102353380492"/>
    <n v="-5.8482213054947696"/>
    <n v="-77.067323658875267"/>
    <n v="0"/>
    <n v="0"/>
    <n v="0"/>
    <n v="-77.067323658875267"/>
  </r>
  <r>
    <x v="5"/>
    <d v="2023-07-05T00:00:00"/>
    <d v="2023-07-24T00:00:00"/>
    <x v="13"/>
    <n v="9"/>
    <n v="37"/>
    <n v="11.115245126635072"/>
    <n v="8.5717057568714825"/>
    <n v="317.15311300424486"/>
    <n v="411.26406968549765"/>
    <n v="-94.110956681252787"/>
    <n v="-7.7280067251180879"/>
    <n v="-101.83896340637088"/>
    <n v="0"/>
    <n v="0"/>
    <n v="0"/>
    <n v="-101.83896340637088"/>
  </r>
  <r>
    <x v="6"/>
    <d v="2023-08-03T00:00:00"/>
    <d v="2023-08-24T00:00:00"/>
    <x v="13"/>
    <n v="9"/>
    <n v="38"/>
    <n v="11.115245126635072"/>
    <n v="8.5717057568714825"/>
    <n v="325.72481876111635"/>
    <n v="422.37931481213275"/>
    <n v="-96.654496051016395"/>
    <n v="-7.9368717717429025"/>
    <n v="-104.5913678227593"/>
    <n v="0"/>
    <n v="0"/>
    <n v="0"/>
    <n v="-104.5913678227593"/>
  </r>
  <r>
    <x v="7"/>
    <d v="2023-09-05T00:00:00"/>
    <d v="2023-09-25T00:00:00"/>
    <x v="13"/>
    <n v="9"/>
    <n v="40"/>
    <n v="11.115245126635072"/>
    <n v="8.5717057568714825"/>
    <n v="342.86823027485929"/>
    <n v="444.6098050654029"/>
    <n v="-101.74157479054361"/>
    <n v="-8.354601864992528"/>
    <n v="-110.09617665553614"/>
    <n v="0"/>
    <n v="0"/>
    <n v="0"/>
    <n v="-110.09617665553614"/>
  </r>
  <r>
    <x v="8"/>
    <d v="2023-10-04T00:00:00"/>
    <d v="2023-10-24T00:00:00"/>
    <x v="13"/>
    <n v="9"/>
    <n v="37"/>
    <n v="11.115245126635072"/>
    <n v="8.5717057568714825"/>
    <n v="317.15311300424486"/>
    <n v="411.26406968549765"/>
    <n v="-94.110956681252787"/>
    <n v="-7.7280067251180879"/>
    <n v="-101.83896340637088"/>
    <n v="0"/>
    <n v="0"/>
    <n v="0"/>
    <n v="-101.83896340637088"/>
  </r>
  <r>
    <x v="9"/>
    <d v="2023-11-03T00:00:00"/>
    <d v="2023-11-24T00:00:00"/>
    <x v="13"/>
    <n v="9"/>
    <n v="30"/>
    <n v="11.115245126635072"/>
    <n v="8.5717057568714825"/>
    <n v="257.15117270614445"/>
    <n v="333.45735379905216"/>
    <n v="-76.306181092907707"/>
    <n v="-6.265951398744396"/>
    <n v="-82.572132491652098"/>
    <n v="0"/>
    <n v="0"/>
    <n v="0"/>
    <n v="-82.572132491652098"/>
  </r>
  <r>
    <x v="10"/>
    <d v="2023-12-06T00:00:00"/>
    <d v="2023-12-25T00:00:00"/>
    <x v="13"/>
    <n v="9"/>
    <n v="19"/>
    <n v="11.115245126635072"/>
    <n v="8.5717057568714825"/>
    <n v="162.86240938055818"/>
    <n v="211.18965740606637"/>
    <n v="-48.327248025508197"/>
    <n v="-3.9684358858714512"/>
    <n v="-52.295683911379648"/>
    <n v="0"/>
    <n v="0"/>
    <n v="0"/>
    <n v="-52.295683911379648"/>
  </r>
  <r>
    <x v="11"/>
    <d v="2024-01-03T00:00:00"/>
    <d v="2024-01-24T00:00:00"/>
    <x v="13"/>
    <n v="9"/>
    <n v="20"/>
    <n v="11.115245126635072"/>
    <n v="8.5717057568714825"/>
    <n v="171.43411513742964"/>
    <n v="222.30490253270145"/>
    <n v="-50.870787395271805"/>
    <n v="-4.177300932496264"/>
    <n v="-55.04808832776807"/>
    <n v="0"/>
    <n v="0"/>
    <n v="0"/>
    <n v="-55.04808832776807"/>
  </r>
  <r>
    <x v="0"/>
    <d v="2023-02-03T00:00:00"/>
    <d v="2023-02-24T00:00:00"/>
    <x v="14"/>
    <n v="9"/>
    <n v="36"/>
    <n v="11.115245126635072"/>
    <n v="8.5717057568714825"/>
    <n v="308.58140724737336"/>
    <n v="400.1488245588626"/>
    <n v="-91.567417311489237"/>
    <n v="-7.5191416784932752"/>
    <n v="-99.086558989982507"/>
    <n v="0"/>
    <n v="0"/>
    <n v="0"/>
    <n v="-99.086558989982507"/>
  </r>
  <r>
    <x v="1"/>
    <d v="2023-03-03T00:00:00"/>
    <d v="2023-03-24T00:00:00"/>
    <x v="14"/>
    <n v="9"/>
    <n v="32"/>
    <n v="11.115245126635072"/>
    <n v="8.5717057568714825"/>
    <n v="274.29458421988744"/>
    <n v="355.6878440523223"/>
    <n v="-81.393259832434865"/>
    <n v="-6.6836814919940224"/>
    <n v="-88.076941324428887"/>
    <n v="0"/>
    <n v="0"/>
    <n v="0"/>
    <n v="-88.076941324428887"/>
  </r>
  <r>
    <x v="2"/>
    <d v="2023-04-05T00:00:00"/>
    <d v="2023-04-24T00:00:00"/>
    <x v="14"/>
    <n v="9"/>
    <n v="32"/>
    <n v="11.115245126635072"/>
    <n v="8.5717057568714825"/>
    <n v="274.29458421988744"/>
    <n v="355.6878440523223"/>
    <n v="-81.393259832434865"/>
    <n v="-6.6836814919940224"/>
    <n v="-88.076941324428887"/>
    <n v="0"/>
    <n v="0"/>
    <n v="0"/>
    <n v="-88.076941324428887"/>
  </r>
  <r>
    <x v="3"/>
    <d v="2023-05-03T00:00:00"/>
    <d v="2023-05-24T00:00:00"/>
    <x v="14"/>
    <n v="9"/>
    <n v="31"/>
    <n v="11.115245126635072"/>
    <n v="8.5717057568714825"/>
    <n v="265.72287846301595"/>
    <n v="344.57259892568726"/>
    <n v="-78.849720462671314"/>
    <n v="-6.4748164453692088"/>
    <n v="-85.324536908040528"/>
    <n v="0"/>
    <n v="0"/>
    <n v="0"/>
    <n v="-85.324536908040528"/>
  </r>
  <r>
    <x v="4"/>
    <d v="2023-06-05T00:00:00"/>
    <d v="2023-06-26T00:00:00"/>
    <x v="14"/>
    <n v="9"/>
    <n v="38"/>
    <n v="11.115245126635072"/>
    <n v="8.5717057568714825"/>
    <n v="325.72481876111635"/>
    <n v="422.37931481213275"/>
    <n v="-96.654496051016395"/>
    <n v="-7.9368717717429025"/>
    <n v="-104.5913678227593"/>
    <n v="0"/>
    <n v="0"/>
    <n v="0"/>
    <n v="-104.5913678227593"/>
  </r>
  <r>
    <x v="5"/>
    <d v="2023-07-05T00:00:00"/>
    <d v="2023-07-24T00:00:00"/>
    <x v="14"/>
    <n v="9"/>
    <n v="48"/>
    <n v="11.115245126635072"/>
    <n v="8.5717057568714825"/>
    <n v="411.44187632983119"/>
    <n v="533.53176607848343"/>
    <n v="-122.08988974865224"/>
    <n v="-10.025522237991034"/>
    <n v="-132.11541198664327"/>
    <n v="0"/>
    <n v="0"/>
    <n v="0"/>
    <n v="-132.11541198664327"/>
  </r>
  <r>
    <x v="6"/>
    <d v="2023-08-03T00:00:00"/>
    <d v="2023-08-24T00:00:00"/>
    <x v="14"/>
    <n v="9"/>
    <n v="49"/>
    <n v="11.115245126635072"/>
    <n v="8.5717057568714825"/>
    <n v="420.01358208670263"/>
    <n v="544.64701120511847"/>
    <n v="-124.63342911841585"/>
    <n v="-10.234387284615847"/>
    <n v="-134.8678164030317"/>
    <n v="0"/>
    <n v="0"/>
    <n v="0"/>
    <n v="-134.8678164030317"/>
  </r>
  <r>
    <x v="7"/>
    <d v="2023-09-05T00:00:00"/>
    <d v="2023-09-25T00:00:00"/>
    <x v="14"/>
    <n v="9"/>
    <n v="50"/>
    <n v="11.115245126635072"/>
    <n v="8.5717057568714825"/>
    <n v="428.58528784357412"/>
    <n v="555.76225633175363"/>
    <n v="-127.17696848817951"/>
    <n v="-10.443252331240659"/>
    <n v="-137.62022081942018"/>
    <n v="0"/>
    <n v="0"/>
    <n v="0"/>
    <n v="-137.62022081942018"/>
  </r>
  <r>
    <x v="8"/>
    <d v="2023-10-04T00:00:00"/>
    <d v="2023-10-24T00:00:00"/>
    <x v="14"/>
    <n v="9"/>
    <n v="47"/>
    <n v="11.115245126635072"/>
    <n v="8.5717057568714825"/>
    <n v="402.87017057295969"/>
    <n v="522.41652095184838"/>
    <n v="-119.54635037888869"/>
    <n v="-9.8166571913662199"/>
    <n v="-129.36300757025492"/>
    <n v="0"/>
    <n v="0"/>
    <n v="0"/>
    <n v="-129.36300757025492"/>
  </r>
  <r>
    <x v="9"/>
    <d v="2023-11-03T00:00:00"/>
    <d v="2023-11-24T00:00:00"/>
    <x v="14"/>
    <n v="9"/>
    <n v="36"/>
    <n v="11.115245126635072"/>
    <n v="8.5717057568714825"/>
    <n v="308.58140724737336"/>
    <n v="400.1488245588626"/>
    <n v="-91.567417311489237"/>
    <n v="-7.5191416784932752"/>
    <n v="-99.086558989982507"/>
    <n v="0"/>
    <n v="0"/>
    <n v="0"/>
    <n v="-99.086558989982507"/>
  </r>
  <r>
    <x v="10"/>
    <d v="2023-12-06T00:00:00"/>
    <d v="2023-12-25T00:00:00"/>
    <x v="14"/>
    <n v="9"/>
    <n v="26"/>
    <n v="11.115245126635072"/>
    <n v="8.5717057568714825"/>
    <n v="222.86434967865856"/>
    <n v="288.99637329251186"/>
    <n v="-66.132023613853306"/>
    <n v="-5.4304912122451432"/>
    <n v="-71.56251482609845"/>
    <n v="0"/>
    <n v="0"/>
    <n v="0"/>
    <n v="-71.56251482609845"/>
  </r>
  <r>
    <x v="11"/>
    <d v="2024-01-03T00:00:00"/>
    <d v="2024-01-24T00:00:00"/>
    <x v="14"/>
    <n v="9"/>
    <n v="31"/>
    <n v="11.115245126635072"/>
    <n v="8.5717057568714825"/>
    <n v="265.72287846301595"/>
    <n v="344.57259892568726"/>
    <n v="-78.849720462671314"/>
    <n v="-6.4748164453692088"/>
    <n v="-85.324536908040528"/>
    <n v="0"/>
    <n v="0"/>
    <n v="0"/>
    <n v="-85.324536908040528"/>
  </r>
  <r>
    <x v="0"/>
    <d v="2023-02-03T00:00:00"/>
    <d v="2023-02-24T00:00:00"/>
    <x v="15"/>
    <n v="9"/>
    <n v="104"/>
    <n v="11.115245126635072"/>
    <n v="8.5717057568714825"/>
    <n v="891.45739871463422"/>
    <n v="1155.9854931700474"/>
    <n v="-264.52809445541322"/>
    <n v="-21.721964848980573"/>
    <n v="-286.2500593043938"/>
    <n v="0"/>
    <n v="0"/>
    <n v="0"/>
    <n v="-286.2500593043938"/>
  </r>
  <r>
    <x v="1"/>
    <d v="2023-03-03T00:00:00"/>
    <d v="2023-03-24T00:00:00"/>
    <x v="15"/>
    <n v="9"/>
    <n v="107"/>
    <n v="11.115245126635072"/>
    <n v="8.5717057568714825"/>
    <n v="917.17251598524865"/>
    <n v="1189.3312285499528"/>
    <n v="-272.15871256470416"/>
    <n v="-22.348559988855012"/>
    <n v="-294.50727255355918"/>
    <n v="0"/>
    <n v="0"/>
    <n v="0"/>
    <n v="-294.50727255355918"/>
  </r>
  <r>
    <x v="2"/>
    <d v="2023-04-05T00:00:00"/>
    <d v="2023-04-24T00:00:00"/>
    <x v="15"/>
    <n v="9"/>
    <n v="103"/>
    <n v="11.115245126635072"/>
    <n v="8.5717057568714825"/>
    <n v="882.88569295776267"/>
    <n v="1144.8702480434124"/>
    <n v="-261.98455508564973"/>
    <n v="-21.513099802355761"/>
    <n v="-283.49765488800551"/>
    <n v="0"/>
    <n v="0"/>
    <n v="0"/>
    <n v="-283.49765488800551"/>
  </r>
  <r>
    <x v="3"/>
    <d v="2023-05-03T00:00:00"/>
    <d v="2023-05-24T00:00:00"/>
    <x v="15"/>
    <n v="9"/>
    <n v="98"/>
    <n v="11.115245126635072"/>
    <n v="8.5717057568714825"/>
    <n v="840.02716417340525"/>
    <n v="1089.2940224102369"/>
    <n v="-249.26685823683169"/>
    <n v="-20.468774569231694"/>
    <n v="-269.73563280606339"/>
    <n v="0"/>
    <n v="0"/>
    <n v="0"/>
    <n v="-269.73563280606339"/>
  </r>
  <r>
    <x v="4"/>
    <d v="2023-06-05T00:00:00"/>
    <d v="2023-06-26T00:00:00"/>
    <x v="15"/>
    <n v="9"/>
    <n v="105"/>
    <n v="11.115245126635072"/>
    <n v="8.5717057568714825"/>
    <n v="900.02910447150566"/>
    <n v="1167.1007382966825"/>
    <n v="-267.07163382517683"/>
    <n v="-21.930829895605388"/>
    <n v="-289.0024637207822"/>
    <n v="0"/>
    <n v="0"/>
    <n v="0"/>
    <n v="-289.0024637207822"/>
  </r>
  <r>
    <x v="5"/>
    <d v="2023-07-05T00:00:00"/>
    <d v="2023-07-24T00:00:00"/>
    <x v="15"/>
    <n v="9"/>
    <n v="115"/>
    <n v="11.115245126635072"/>
    <n v="8.5717057568714825"/>
    <n v="985.7461620402205"/>
    <n v="1278.2531895630332"/>
    <n v="-292.50702752281268"/>
    <n v="-24.019480361853518"/>
    <n v="-316.52650788466622"/>
    <n v="0"/>
    <n v="0"/>
    <n v="0"/>
    <n v="-316.52650788466622"/>
  </r>
  <r>
    <x v="6"/>
    <d v="2023-08-03T00:00:00"/>
    <d v="2023-08-24T00:00:00"/>
    <x v="15"/>
    <n v="9"/>
    <n v="110"/>
    <n v="11.115245126635072"/>
    <n v="8.5717057568714825"/>
    <n v="942.88763325586308"/>
    <n v="1222.6769639298579"/>
    <n v="-279.78933067399487"/>
    <n v="-22.975155128729455"/>
    <n v="-302.76448580272432"/>
    <n v="0"/>
    <n v="0"/>
    <n v="0"/>
    <n v="-302.76448580272432"/>
  </r>
  <r>
    <x v="7"/>
    <d v="2023-09-05T00:00:00"/>
    <d v="2023-09-25T00:00:00"/>
    <x v="15"/>
    <n v="9"/>
    <n v="109"/>
    <n v="11.115245126635072"/>
    <n v="8.5717057568714825"/>
    <n v="934.31592749899164"/>
    <n v="1211.5617188032229"/>
    <n v="-277.24579130423126"/>
    <n v="-22.766290082104639"/>
    <n v="-300.01208138633592"/>
    <n v="0"/>
    <n v="0"/>
    <n v="0"/>
    <n v="-300.01208138633592"/>
  </r>
  <r>
    <x v="8"/>
    <d v="2023-10-04T00:00:00"/>
    <d v="2023-10-24T00:00:00"/>
    <x v="15"/>
    <n v="9"/>
    <n v="112"/>
    <n v="11.115245126635072"/>
    <n v="8.5717057568714825"/>
    <n v="960.03104476960607"/>
    <n v="1244.907454183128"/>
    <n v="-284.87640941352197"/>
    <n v="-23.392885221979078"/>
    <n v="-308.26929463550107"/>
    <n v="0"/>
    <n v="0"/>
    <n v="0"/>
    <n v="-308.26929463550107"/>
  </r>
  <r>
    <x v="9"/>
    <d v="2023-11-03T00:00:00"/>
    <d v="2023-11-24T00:00:00"/>
    <x v="15"/>
    <n v="9"/>
    <n v="107"/>
    <n v="11.115245126635072"/>
    <n v="8.5717057568714825"/>
    <n v="917.17251598524865"/>
    <n v="1189.3312285499528"/>
    <n v="-272.15871256470416"/>
    <n v="-22.348559988855012"/>
    <n v="-294.50727255355918"/>
    <n v="0"/>
    <n v="0"/>
    <n v="0"/>
    <n v="-294.50727255355918"/>
  </r>
  <r>
    <x v="10"/>
    <d v="2023-12-06T00:00:00"/>
    <d v="2023-12-25T00:00:00"/>
    <x v="15"/>
    <n v="9"/>
    <n v="104"/>
    <n v="11.115245126635072"/>
    <n v="8.5717057568714825"/>
    <n v="891.45739871463422"/>
    <n v="1155.9854931700474"/>
    <n v="-264.52809445541322"/>
    <n v="-21.721964848980573"/>
    <n v="-286.2500593043938"/>
    <n v="0"/>
    <n v="0"/>
    <n v="0"/>
    <n v="-286.2500593043938"/>
  </r>
  <r>
    <x v="11"/>
    <d v="2024-01-03T00:00:00"/>
    <d v="2024-01-24T00:00:00"/>
    <x v="15"/>
    <n v="9"/>
    <n v="101"/>
    <n v="11.115245126635072"/>
    <n v="8.5717057568714825"/>
    <n v="865.74228144401968"/>
    <n v="1122.6397577901423"/>
    <n v="-256.89747634612263"/>
    <n v="-21.095369709106134"/>
    <n v="-277.99284605522877"/>
    <n v="0"/>
    <n v="0"/>
    <n v="0"/>
    <n v="-277.992846055228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68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0"/>
  <sheetViews>
    <sheetView tabSelected="1" topLeftCell="A8" zoomScale="85" zoomScaleNormal="85" zoomScaleSheetLayoutView="100" workbookViewId="0">
      <selection activeCell="I21" sqref="I2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6" t="str">
        <f>+Transactions!B1</f>
        <v>AEPTCo Formula Rate -- FERC Docket ER18-195</v>
      </c>
      <c r="D1" s="236"/>
      <c r="E1" s="236"/>
      <c r="F1" s="236"/>
      <c r="G1" s="236"/>
      <c r="H1" s="236"/>
      <c r="I1" s="236"/>
      <c r="J1" s="6">
        <v>2023</v>
      </c>
    </row>
    <row r="2" spans="2:17" ht="13" x14ac:dyDescent="0.3">
      <c r="C2" s="236" t="s">
        <v>36</v>
      </c>
      <c r="D2" s="236"/>
      <c r="E2" s="236"/>
      <c r="F2" s="236"/>
      <c r="G2" s="236"/>
      <c r="H2" s="236"/>
      <c r="I2" s="236"/>
    </row>
    <row r="3" spans="2:17" ht="13" x14ac:dyDescent="0.3">
      <c r="C3" s="236" t="str">
        <f>"for period 01/01/"&amp;F8&amp;" - 12/31/"&amp;F8</f>
        <v>for period 01/01/2023 - 12/31/2023</v>
      </c>
      <c r="D3" s="236"/>
      <c r="E3" s="236"/>
      <c r="F3" s="236"/>
      <c r="G3" s="236"/>
      <c r="H3" s="236"/>
      <c r="I3" s="236"/>
    </row>
    <row r="4" spans="2:17" ht="13" x14ac:dyDescent="0.3">
      <c r="C4" s="236" t="s">
        <v>94</v>
      </c>
      <c r="D4" s="236"/>
      <c r="E4" s="236"/>
      <c r="F4" s="236"/>
      <c r="G4" s="236"/>
      <c r="H4" s="236"/>
      <c r="I4" s="236"/>
    </row>
    <row r="5" spans="2:17" x14ac:dyDescent="0.25">
      <c r="C5" s="7" t="str">
        <f>"Prepared:  May 24_, "&amp;J1+1&amp;""</f>
        <v>Prepared:  May 24_, 2024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"&amp;F8&amp;" Update of May "&amp;F8+1&amp;")"</f>
        <v>(per 2023 Update of May 2024)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1216319.0437174225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875839.75082561432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11.115245126635072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8.5717057568714825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96</v>
      </c>
      <c r="G20" s="58" t="s">
        <v>97</v>
      </c>
      <c r="H20" s="58" t="s">
        <v>86</v>
      </c>
      <c r="I20" s="56" t="s">
        <v>98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81902.648506907019</v>
      </c>
      <c r="E21" s="61">
        <f>GETPIVOTDATA("Sum of "&amp;T(Transactions!$K$19),Pivot!$A$3,"Customer",C21)</f>
        <v>106206.16718499811</v>
      </c>
      <c r="F21" s="61">
        <f>D21-E21</f>
        <v>-24303.518678091088</v>
      </c>
      <c r="G21" s="51">
        <f>+GETPIVOTDATA("Sum of "&amp;T(Transactions!$M$19),Pivot!$A$3,"Customer","AECC")</f>
        <v>-1995.7055205000904</v>
      </c>
      <c r="H21" s="51">
        <f>GETPIVOTDATA("Sum of "&amp;T(Transactions!$Q$19),Pivot!$A$3,"Customer","AECC")</f>
        <v>0</v>
      </c>
      <c r="I21" s="62">
        <f>F21+G21-H21</f>
        <v>-26299.224198591179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83</v>
      </c>
      <c r="D22" s="61">
        <f>GETPIVOTDATA("Sum of "&amp;T(Transactions!$J$19),Pivot!$A$3,"Customer",C22)</f>
        <v>4500.1455223575285</v>
      </c>
      <c r="E22" s="61">
        <f>GETPIVOTDATA("Sum of "&amp;T(Transactions!$K$19),Pivot!$A$3,"Customer",C22)</f>
        <v>5835.5036914834127</v>
      </c>
      <c r="F22" s="61">
        <f>D22-E22</f>
        <v>-1335.3581691258842</v>
      </c>
      <c r="G22" s="51">
        <f>+GETPIVOTDATA("Sum of "&amp;T(Transactions!$M$19),Pivot!$A$3,"Customer","AECI")</f>
        <v>-109.65414947802694</v>
      </c>
      <c r="H22" s="51">
        <f>GETPIVOTDATA("Sum of "&amp;T(Transactions!$Q$19),Pivot!$A$3,"Customer",C22)</f>
        <v>0</v>
      </c>
      <c r="I22" s="62">
        <f t="shared" ref="I22:I33" si="0">F22+G22-H22</f>
        <v>-1445.0123186039111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54</v>
      </c>
      <c r="D23" s="61">
        <f>GETPIVOTDATA("Sum of "&amp;T(Transactions!$J$19),Pivot!$A$3,"Customer",C23)</f>
        <v>13003.277633174039</v>
      </c>
      <c r="E23" s="61">
        <f>GETPIVOTDATA("Sum of "&amp;T(Transactions!$K$19),Pivot!$A$3,"Customer",C23)</f>
        <v>16861.826857105407</v>
      </c>
      <c r="F23" s="61">
        <f t="shared" ref="F23:F35" si="1">D23-E23</f>
        <v>-3858.549223931368</v>
      </c>
      <c r="G23" s="51">
        <f>+GETPIVOTDATA("Sum of "&amp;T(Transactions!$M$19),Pivot!$A$3,"Customer","Bentonville, AR")</f>
        <v>-316.84827572984165</v>
      </c>
      <c r="H23" s="51">
        <f>GETPIVOTDATA("Sum of "&amp;T(Transactions!$Q$19),Pivot!$A$3,"Customer",C23)</f>
        <v>0</v>
      </c>
      <c r="I23" s="62">
        <f t="shared" si="0"/>
        <v>-4175.3974996612096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10928.924840011141</v>
      </c>
      <c r="E24" s="61">
        <f>GETPIVOTDATA("Sum of "&amp;T(Transactions!$K$19),Pivot!$A$3,"Customer",C24)</f>
        <v>14171.937536459716</v>
      </c>
      <c r="F24" s="61">
        <f t="shared" si="1"/>
        <v>-3243.0126964485753</v>
      </c>
      <c r="G24" s="51">
        <f>+GETPIVOTDATA("Sum of "&amp;T(Transactions!$M$19),Pivot!$A$3,"Customer","Coffeyville, KS")</f>
        <v>-266.30293444663681</v>
      </c>
      <c r="H24" s="51">
        <f>GETPIVOTDATA("Sum of "&amp;T(Transactions!$Q$19),Pivot!$A$3,"Customer",C24)</f>
        <v>0</v>
      </c>
      <c r="I24" s="62">
        <f t="shared" si="0"/>
        <v>-3509.3156308952121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89291.458869330236</v>
      </c>
      <c r="E25" s="61">
        <f>GETPIVOTDATA("Sum of "&amp;T(Transactions!$K$19),Pivot!$A$3,"Customer",C25)</f>
        <v>115787.50848415754</v>
      </c>
      <c r="F25" s="61">
        <f t="shared" si="1"/>
        <v>-26496.049614827309</v>
      </c>
      <c r="G25" s="51">
        <f>+GETPIVOTDATA("Sum of "&amp;T(Transactions!$M$19),Pivot!$A$3,"Customer","ETEC")</f>
        <v>-2175.7471906906794</v>
      </c>
      <c r="H25" s="51">
        <f>GETPIVOTDATA("Sum of "&amp;T(Transactions!$Q$19),Pivot!$A$3,"Customer",C25)</f>
        <v>0</v>
      </c>
      <c r="I25" s="62">
        <f t="shared" si="0"/>
        <v>-28671.796805517988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925.74422174212009</v>
      </c>
      <c r="E26" s="61">
        <f>GETPIVOTDATA("Sum of "&amp;T(Transactions!$K$19),Pivot!$A$3,"Customer",C26)</f>
        <v>1200.4464736765881</v>
      </c>
      <c r="F26" s="61">
        <f t="shared" si="1"/>
        <v>-274.70225193446799</v>
      </c>
      <c r="G26" s="51">
        <f>+GETPIVOTDATA("Sum of "&amp;T(Transactions!$M$19),Pivot!$A$3,"Customer","Greenbelt")</f>
        <v>-22.557425035479824</v>
      </c>
      <c r="H26" s="51">
        <f>GETPIVOTDATA("Sum of "&amp;T(Transactions!$Q$19),Pivot!$A$3,"Customer",C26)</f>
        <v>0</v>
      </c>
      <c r="I26" s="62">
        <f t="shared" si="0"/>
        <v>-297.2596769699478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57</v>
      </c>
      <c r="D27" s="61">
        <f>GETPIVOTDATA("Sum of "&amp;T(Transactions!$J$19),Pivot!$A$3,"Customer",C27)</f>
        <v>3908.6978251333953</v>
      </c>
      <c r="E27" s="61">
        <f>GETPIVOTDATA("Sum of "&amp;T(Transactions!$K$19),Pivot!$A$3,"Customer",C27)</f>
        <v>5068.5517777455925</v>
      </c>
      <c r="F27" s="61">
        <f t="shared" si="1"/>
        <v>-1159.8539526121972</v>
      </c>
      <c r="G27" s="51">
        <f>+GETPIVOTDATA("Sum of "&amp;T(Transactions!$M$19),Pivot!$A$3,"Customer","Hope, AR")</f>
        <v>-95.242461260914823</v>
      </c>
      <c r="H27" s="51">
        <f>GETPIVOTDATA("Sum of "&amp;T(Transactions!$Q$19),Pivot!$A$3,"Customer",C27)</f>
        <v>0</v>
      </c>
      <c r="I27" s="62">
        <f t="shared" si="0"/>
        <v>-1255.0964138731119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480.01552238480303</v>
      </c>
      <c r="E28" s="61">
        <f>GETPIVOTDATA("Sum of "&amp;T(Transactions!$K$19),Pivot!$A$3,"Customer",C28)</f>
        <v>622.45372709156402</v>
      </c>
      <c r="F28" s="61">
        <f t="shared" si="1"/>
        <v>-142.43820470676098</v>
      </c>
      <c r="G28" s="51">
        <f>+GETPIVOTDATA("Sum of "&amp;T(Transactions!$M$19),Pivot!$A$3,"Customer","Lighthouse")</f>
        <v>-11.696442610989539</v>
      </c>
      <c r="H28" s="51">
        <f>GETPIVOTDATA("Sum of "&amp;T(Transactions!$Q$19),Pivot!$A$3,"Customer",C28)</f>
        <v>0</v>
      </c>
      <c r="I28" s="62">
        <f t="shared" si="0"/>
        <v>-154.13464731775053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56</v>
      </c>
      <c r="D29" s="61">
        <f>GETPIVOTDATA("Sum of "&amp;T(Transactions!$J$19),Pivot!$A$3,"Customer",C29)</f>
        <v>2837.2346055244607</v>
      </c>
      <c r="E29" s="61">
        <f>GETPIVOTDATA("Sum of "&amp;T(Transactions!$K$19),Pivot!$A$3,"Customer",C29)</f>
        <v>3679.1461369162089</v>
      </c>
      <c r="F29" s="61">
        <f t="shared" si="1"/>
        <v>-841.91153139174821</v>
      </c>
      <c r="G29" s="51">
        <f>+GETPIVOTDATA("Sum of "&amp;T(Transactions!$M$19),Pivot!$A$3,"Customer","Minden, LA")</f>
        <v>-69.134330432813186</v>
      </c>
      <c r="H29" s="51">
        <f>GETPIVOTDATA("Sum of "&amp;T(Transactions!$Q$19),Pivot!$A$3,"Customer",C29)</f>
        <v>0</v>
      </c>
      <c r="I29" s="62">
        <f t="shared" si="0"/>
        <v>-911.04586182456137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6343.0622600848965</v>
      </c>
      <c r="E30" s="61">
        <f>GETPIVOTDATA("Sum of "&amp;T(Transactions!$K$19),Pivot!$A$3,"Customer",C30)</f>
        <v>8225.2813937099545</v>
      </c>
      <c r="F30" s="61">
        <f t="shared" si="1"/>
        <v>-1882.219133625058</v>
      </c>
      <c r="G30" s="51">
        <f>+GETPIVOTDATA("Sum of "&amp;T(Transactions!$M$19),Pivot!$A$3,"Customer","OG&amp;E")</f>
        <v>-154.56013450236176</v>
      </c>
      <c r="H30" s="51">
        <f>GETPIVOTDATA("Sum of "&amp;T(Transactions!$Q$19),Pivot!$A$3,"Customer",C30)</f>
        <v>0</v>
      </c>
      <c r="I30" s="62">
        <f t="shared" si="0"/>
        <v>-2036.7792681274198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10877.494605469912</v>
      </c>
      <c r="E31" s="61">
        <f>GETPIVOTDATA("Sum of "&amp;T(Transactions!$K$19),Pivot!$A$3,"Customer",C31)</f>
        <v>14105.246065699906</v>
      </c>
      <c r="F31" s="61">
        <f t="shared" si="1"/>
        <v>-3227.7514602299943</v>
      </c>
      <c r="G31" s="51">
        <f>+GETPIVOTDATA("Sum of "&amp;T(Transactions!$M$19),Pivot!$A$3,"Customer","OMPA")</f>
        <v>-265.04974416688799</v>
      </c>
      <c r="H31" s="51">
        <f>GETPIVOTDATA("Sum of "&amp;T(Transactions!$Q$19),Pivot!$A$3,"Customer",C31)</f>
        <v>0</v>
      </c>
      <c r="I31" s="62">
        <f t="shared" si="0"/>
        <v>-3492.8012043968824</v>
      </c>
      <c r="J31" s="59"/>
    </row>
    <row r="32" spans="2:17" x14ac:dyDescent="0.25">
      <c r="B32" s="59"/>
      <c r="C32" s="60" t="s">
        <v>55</v>
      </c>
      <c r="D32" s="61">
        <f>GETPIVOTDATA("Sum of "&amp;T(Transactions!$J$19),Pivot!$A$3,"Customer",C32)</f>
        <v>1037.1763965814494</v>
      </c>
      <c r="E32" s="61">
        <f>GETPIVOTDATA("Sum of "&amp;T(Transactions!$K$19),Pivot!$A$3,"Customer",C32)</f>
        <v>1344.9446603228437</v>
      </c>
      <c r="F32" s="61">
        <f t="shared" si="1"/>
        <v>-307.76826374139432</v>
      </c>
      <c r="G32" s="51">
        <f>+GETPIVOTDATA("Sum of "&amp;T(Transactions!$M$19),Pivot!$A$3,"Customer","Prescott, AR")</f>
        <v>-25.272670641602399</v>
      </c>
      <c r="H32" s="51">
        <f>GETPIVOTDATA("Sum of "&amp;T(Transactions!$Q$19),Pivot!$A$3,"Customer",C32)</f>
        <v>0</v>
      </c>
      <c r="I32" s="62">
        <f t="shared" si="0"/>
        <v>-333.04093438299674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5280.1707462328332</v>
      </c>
      <c r="E33" s="61">
        <f>GETPIVOTDATA("Sum of "&amp;T(Transactions!$K$19),Pivot!$A$3,"Customer",C33)</f>
        <v>6846.9909980072043</v>
      </c>
      <c r="F33" s="61">
        <f t="shared" si="1"/>
        <v>-1566.8202517743712</v>
      </c>
      <c r="G33" s="51">
        <f>+GETPIVOTDATA("Sum of "&amp;T(Transactions!$M$19),Pivot!$A$3,"Customer","WFEC")</f>
        <v>-128.66086872088493</v>
      </c>
      <c r="H33" s="51">
        <f>GETPIVOTDATA("Sum of "&amp;T(Transactions!$Q$19),Pivot!$A$3,"Customer",C33)</f>
        <v>0</v>
      </c>
      <c r="I33" s="62">
        <f t="shared" si="0"/>
        <v>-1695.4811204952562</v>
      </c>
      <c r="J33" s="59"/>
    </row>
    <row r="34" spans="2:11" ht="23" x14ac:dyDescent="0.25">
      <c r="C34" s="66" t="s">
        <v>43</v>
      </c>
      <c r="D34" s="67">
        <f t="shared" ref="D34:I34" si="2">SUM(D21:D33)</f>
        <v>231316.05155493386</v>
      </c>
      <c r="E34" s="67">
        <f t="shared" si="2"/>
        <v>299956.00498737401</v>
      </c>
      <c r="F34" s="67">
        <f t="shared" si="2"/>
        <v>-68639.953432440234</v>
      </c>
      <c r="G34" s="68">
        <f t="shared" si="2"/>
        <v>-5636.432148217209</v>
      </c>
      <c r="H34" s="68">
        <f t="shared" si="2"/>
        <v>0</v>
      </c>
      <c r="I34" s="69">
        <f t="shared" si="2"/>
        <v>-74276.385580657414</v>
      </c>
    </row>
    <row r="35" spans="2:11" x14ac:dyDescent="0.25">
      <c r="C35" s="70" t="s">
        <v>21</v>
      </c>
      <c r="D35" s="61">
        <f>GETPIVOTDATA("Sum of "&amp;T(Transactions!$J$19),Pivot!$A$3,"Customer",C35)</f>
        <v>326187.69087198743</v>
      </c>
      <c r="E35" s="61">
        <f>GETPIVOTDATA("Sum of "&amp;T(Transactions!$K$19),Pivot!$A$3,"Customer",C35)</f>
        <v>422979.53804897098</v>
      </c>
      <c r="F35" s="61">
        <f t="shared" si="1"/>
        <v>-96791.847176983545</v>
      </c>
      <c r="G35" s="51">
        <f>+GETPIVOTDATA("Sum of "&amp;T(Transactions!$M$19),Pivot!$A$3,"Customer","PSO")</f>
        <v>-7948.150484260641</v>
      </c>
      <c r="H35" s="51">
        <f>GETPIVOTDATA("Sum of "&amp;T(Transactions!$Q$19),Pivot!$A$3,"Customer",C35)</f>
        <v>0</v>
      </c>
      <c r="I35" s="62">
        <f>F35+G35-H35</f>
        <v>-104739.99766124418</v>
      </c>
    </row>
    <row r="36" spans="2:11" x14ac:dyDescent="0.25">
      <c r="C36" s="71" t="s">
        <v>22</v>
      </c>
      <c r="D36" s="61">
        <f>GETPIVOTDATA("Sum of "&amp;T(Transactions!$J$19),Pivot!$A$3,"Customer",C36)</f>
        <v>304424.12995529076</v>
      </c>
      <c r="E36" s="61">
        <f>GETPIVOTDATA("Sum of "&amp;T(Transactions!$K$19),Pivot!$A$3,"Customer",C36)</f>
        <v>394757.93067244452</v>
      </c>
      <c r="F36" s="61">
        <f>D36-E36</f>
        <v>-90333.800717153761</v>
      </c>
      <c r="G36" s="51">
        <f>+GETPIVOTDATA("Sum of "&amp;T(Transactions!$M$19),Pivot!$A$3,"Customer","SWEPCO")</f>
        <v>-7417.8421308802408</v>
      </c>
      <c r="H36" s="51">
        <f>GETPIVOTDATA("Sum of "&amp;T(Transactions!$Q$19),Pivot!$A$3,"Customer",C36)</f>
        <v>0</v>
      </c>
      <c r="I36" s="62">
        <f>F36+G36-H36</f>
        <v>-97751.642848033996</v>
      </c>
    </row>
    <row r="37" spans="2:11" x14ac:dyDescent="0.25">
      <c r="C37" s="72" t="s">
        <v>81</v>
      </c>
      <c r="D37" s="61">
        <f>GETPIVOTDATA("Sum of "&amp;T(Transactions!$J$19),Pivot!$A$3,"Customer",C37)</f>
        <v>13911.878443402415</v>
      </c>
      <c r="E37" s="61">
        <f>GETPIVOTDATA("Sum of "&amp;T(Transactions!$K$19),Pivot!$A$3,"Customer",C37)</f>
        <v>18040.04284052872</v>
      </c>
      <c r="F37" s="61">
        <f>D37-E37</f>
        <v>-4128.1643971263056</v>
      </c>
      <c r="G37" s="51">
        <f>+GETPIVOTDATA("Sum of "&amp;T(Transactions!$M$19),Pivot!$A$3,"Customer","SWEPCO-Valley")</f>
        <v>-338.98797067207181</v>
      </c>
      <c r="H37" s="51">
        <f>GETPIVOTDATA("Sum of "&amp;T(Transactions!$Q$19),Pivot!$A$3,"Customer",C37)</f>
        <v>0</v>
      </c>
      <c r="I37" s="62">
        <f>F37+G37-H37</f>
        <v>-4467.1523677983778</v>
      </c>
    </row>
    <row r="38" spans="2:11" ht="23" x14ac:dyDescent="0.25">
      <c r="C38" s="73" t="s">
        <v>51</v>
      </c>
      <c r="D38" s="74">
        <f t="shared" ref="D38:I38" si="3">SUM(D35:D37)</f>
        <v>644523.69927068066</v>
      </c>
      <c r="E38" s="74">
        <f t="shared" si="3"/>
        <v>835777.51156194427</v>
      </c>
      <c r="F38" s="74">
        <f t="shared" si="3"/>
        <v>-191253.8122912636</v>
      </c>
      <c r="G38" s="75">
        <f t="shared" si="3"/>
        <v>-15704.980585812953</v>
      </c>
      <c r="H38" s="75">
        <f t="shared" si="3"/>
        <v>0</v>
      </c>
      <c r="I38" s="76">
        <f t="shared" si="3"/>
        <v>-206958.79287707654</v>
      </c>
      <c r="K38" s="77"/>
    </row>
    <row r="39" spans="2:11" ht="23.25" customHeight="1" thickBot="1" x14ac:dyDescent="0.3">
      <c r="C39" s="78" t="s">
        <v>44</v>
      </c>
      <c r="D39" s="79">
        <f t="shared" ref="D39:I39" si="4">SUM(D34,D38)</f>
        <v>875839.75082561455</v>
      </c>
      <c r="E39" s="80">
        <f t="shared" si="4"/>
        <v>1135733.5165493183</v>
      </c>
      <c r="F39" s="79">
        <f t="shared" si="4"/>
        <v>-259893.76572370384</v>
      </c>
      <c r="G39" s="80">
        <f t="shared" si="4"/>
        <v>-21341.412734030164</v>
      </c>
      <c r="H39" s="80">
        <f t="shared" si="4"/>
        <v>0</v>
      </c>
      <c r="I39" s="81">
        <f t="shared" si="4"/>
        <v>-281235.17845773394</v>
      </c>
      <c r="K39" s="77"/>
    </row>
    <row r="40" spans="2:11" x14ac:dyDescent="0.25">
      <c r="E40" s="50"/>
      <c r="F40" s="50"/>
      <c r="G40" s="50"/>
      <c r="H40" s="5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F98" activePane="bottomRight" state="frozen"/>
      <selection pane="topRight" activeCell="C1" sqref="C1"/>
      <selection pane="bottomLeft" activeCell="A5" sqref="A5"/>
      <selection pane="bottomRight" activeCell="I106" sqref="I106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83"/>
      <c r="B3" s="84"/>
      <c r="C3" s="85" t="s">
        <v>53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</row>
    <row r="4" spans="1:15" x14ac:dyDescent="0.25">
      <c r="A4" s="85" t="s">
        <v>0</v>
      </c>
      <c r="B4" s="85" t="s">
        <v>24</v>
      </c>
      <c r="C4" s="87">
        <v>44927</v>
      </c>
      <c r="D4" s="88">
        <v>44958</v>
      </c>
      <c r="E4" s="88">
        <v>44986</v>
      </c>
      <c r="F4" s="88">
        <v>45017</v>
      </c>
      <c r="G4" s="88">
        <v>45047</v>
      </c>
      <c r="H4" s="88">
        <v>45078</v>
      </c>
      <c r="I4" s="88">
        <v>45108</v>
      </c>
      <c r="J4" s="88">
        <v>45139</v>
      </c>
      <c r="K4" s="88">
        <v>45170</v>
      </c>
      <c r="L4" s="88">
        <v>45200</v>
      </c>
      <c r="M4" s="88">
        <v>45231</v>
      </c>
      <c r="N4" s="88">
        <v>45261</v>
      </c>
      <c r="O4" s="89" t="s">
        <v>18</v>
      </c>
    </row>
    <row r="5" spans="1:15" x14ac:dyDescent="0.25">
      <c r="A5" s="83" t="s">
        <v>14</v>
      </c>
      <c r="B5" s="83" t="s">
        <v>70</v>
      </c>
      <c r="C5" s="90">
        <v>7097.3723666895876</v>
      </c>
      <c r="D5" s="91">
        <v>6737.3607249009856</v>
      </c>
      <c r="E5" s="91">
        <v>6017.3374413237807</v>
      </c>
      <c r="F5" s="91">
        <v>4448.7152878162997</v>
      </c>
      <c r="G5" s="91">
        <v>6171.6281449474673</v>
      </c>
      <c r="H5" s="91">
        <v>8357.4131129496946</v>
      </c>
      <c r="I5" s="91">
        <v>7920.2561193492502</v>
      </c>
      <c r="J5" s="91">
        <v>9026.0061619856715</v>
      </c>
      <c r="K5" s="91">
        <v>7757.3937099686918</v>
      </c>
      <c r="L5" s="91">
        <v>5948.7637952688092</v>
      </c>
      <c r="M5" s="91">
        <v>6308.7754370574112</v>
      </c>
      <c r="N5" s="91">
        <v>6111.6262046493666</v>
      </c>
      <c r="O5" s="92">
        <v>81902.648506907019</v>
      </c>
    </row>
    <row r="6" spans="1:15" ht="13" x14ac:dyDescent="0.3">
      <c r="A6" s="214"/>
      <c r="B6" s="93" t="s">
        <v>25</v>
      </c>
      <c r="C6" s="230">
        <v>-2106.0505981642527</v>
      </c>
      <c r="D6" s="231">
        <v>-1999.2219446341805</v>
      </c>
      <c r="E6" s="231">
        <v>-1785.5646375740398</v>
      </c>
      <c r="F6" s="231">
        <v>-1320.0969329073023</v>
      </c>
      <c r="G6" s="231">
        <v>-1831.3483462297845</v>
      </c>
      <c r="H6" s="231">
        <v>-2479.9508855194999</v>
      </c>
      <c r="I6" s="231">
        <v>-2350.2303776615563</v>
      </c>
      <c r="J6" s="231">
        <v>-2678.3469563610597</v>
      </c>
      <c r="K6" s="231">
        <v>-2301.9031296360481</v>
      </c>
      <c r="L6" s="231">
        <v>-1765.2163226159309</v>
      </c>
      <c r="M6" s="231">
        <v>-1872.0449761460022</v>
      </c>
      <c r="N6" s="231">
        <v>-1813.5435706414401</v>
      </c>
      <c r="O6" s="232">
        <v>-24303.518678091099</v>
      </c>
    </row>
    <row r="7" spans="1:15" ht="13" x14ac:dyDescent="0.3">
      <c r="A7" s="214"/>
      <c r="B7" s="93" t="s">
        <v>26</v>
      </c>
      <c r="C7" s="230">
        <v>-172.94025860534535</v>
      </c>
      <c r="D7" s="231">
        <v>-164.16792664710317</v>
      </c>
      <c r="E7" s="231">
        <v>-146.62326273061888</v>
      </c>
      <c r="F7" s="231">
        <v>-108.40095919827804</v>
      </c>
      <c r="G7" s="231">
        <v>-150.38283356986551</v>
      </c>
      <c r="H7" s="231">
        <v>-203.6434204591929</v>
      </c>
      <c r="I7" s="231">
        <v>-192.9913030813274</v>
      </c>
      <c r="J7" s="231">
        <v>-219.93489409592831</v>
      </c>
      <c r="K7" s="231">
        <v>-189.02286719545594</v>
      </c>
      <c r="L7" s="231">
        <v>-144.95234235762038</v>
      </c>
      <c r="M7" s="231">
        <v>-153.72467431586253</v>
      </c>
      <c r="N7" s="231">
        <v>-148.92077824349181</v>
      </c>
      <c r="O7" s="232">
        <v>-1995.7055205000904</v>
      </c>
    </row>
    <row r="8" spans="1:15" ht="13" x14ac:dyDescent="0.3">
      <c r="A8" s="214"/>
      <c r="B8" s="93" t="s">
        <v>27</v>
      </c>
      <c r="C8" s="230">
        <v>-2278.9908567695979</v>
      </c>
      <c r="D8" s="231">
        <v>-2163.3898712812838</v>
      </c>
      <c r="E8" s="231">
        <v>-1932.1879003046588</v>
      </c>
      <c r="F8" s="231">
        <v>-1428.4978921055804</v>
      </c>
      <c r="G8" s="231">
        <v>-1981.7311797996499</v>
      </c>
      <c r="H8" s="231">
        <v>-2683.5943059786928</v>
      </c>
      <c r="I8" s="231">
        <v>-2543.2216807428836</v>
      </c>
      <c r="J8" s="231">
        <v>-2898.2818504569882</v>
      </c>
      <c r="K8" s="231">
        <v>-2490.9259968315041</v>
      </c>
      <c r="L8" s="231">
        <v>-1910.1686649735514</v>
      </c>
      <c r="M8" s="231">
        <v>-2025.7696504618648</v>
      </c>
      <c r="N8" s="231">
        <v>-1962.464348884932</v>
      </c>
      <c r="O8" s="232">
        <v>-26299.224198591193</v>
      </c>
    </row>
    <row r="9" spans="1:15" x14ac:dyDescent="0.25">
      <c r="A9" s="214"/>
      <c r="B9" s="93" t="s">
        <v>49</v>
      </c>
      <c r="C9" s="94">
        <v>9203.4229648538403</v>
      </c>
      <c r="D9" s="82">
        <v>8736.5826695351661</v>
      </c>
      <c r="E9" s="82">
        <v>7802.9020788978205</v>
      </c>
      <c r="F9" s="82">
        <v>5768.812220723602</v>
      </c>
      <c r="G9" s="82">
        <v>8002.9764911772518</v>
      </c>
      <c r="H9" s="82">
        <v>10837.363998469194</v>
      </c>
      <c r="I9" s="82">
        <v>10270.486497010806</v>
      </c>
      <c r="J9" s="82">
        <v>11704.353118346731</v>
      </c>
      <c r="K9" s="82">
        <v>10059.29683960474</v>
      </c>
      <c r="L9" s="82">
        <v>7713.9801178847401</v>
      </c>
      <c r="M9" s="82">
        <v>8180.8204132034134</v>
      </c>
      <c r="N9" s="82">
        <v>7925.1697752908067</v>
      </c>
      <c r="O9" s="95">
        <v>106206.16718499811</v>
      </c>
    </row>
    <row r="10" spans="1:15" x14ac:dyDescent="0.25">
      <c r="A10" s="214"/>
      <c r="B10" s="93" t="s">
        <v>87</v>
      </c>
      <c r="C10" s="94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95">
        <v>0</v>
      </c>
    </row>
    <row r="11" spans="1:15" x14ac:dyDescent="0.25">
      <c r="A11" s="214"/>
      <c r="B11" s="93" t="s">
        <v>89</v>
      </c>
      <c r="C11" s="94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95">
        <v>0</v>
      </c>
    </row>
    <row r="12" spans="1:15" x14ac:dyDescent="0.25">
      <c r="A12" s="83" t="s">
        <v>17</v>
      </c>
      <c r="B12" s="83" t="s">
        <v>70</v>
      </c>
      <c r="C12" s="90">
        <v>891.45739871463422</v>
      </c>
      <c r="D12" s="91">
        <v>917.17251598524865</v>
      </c>
      <c r="E12" s="91">
        <v>882.88569295776267</v>
      </c>
      <c r="F12" s="91">
        <v>840.02716417340525</v>
      </c>
      <c r="G12" s="91">
        <v>900.02910447150566</v>
      </c>
      <c r="H12" s="91">
        <v>985.7461620402205</v>
      </c>
      <c r="I12" s="91">
        <v>942.88763325586308</v>
      </c>
      <c r="J12" s="91">
        <v>934.31592749899164</v>
      </c>
      <c r="K12" s="91">
        <v>960.03104476960607</v>
      </c>
      <c r="L12" s="91">
        <v>917.17251598524865</v>
      </c>
      <c r="M12" s="91">
        <v>891.45739871463422</v>
      </c>
      <c r="N12" s="91">
        <v>865.74228144401968</v>
      </c>
      <c r="O12" s="92">
        <v>10928.924840011141</v>
      </c>
    </row>
    <row r="13" spans="1:15" ht="13" x14ac:dyDescent="0.3">
      <c r="A13" s="214"/>
      <c r="B13" s="93" t="s">
        <v>25</v>
      </c>
      <c r="C13" s="230">
        <v>-264.52809445541322</v>
      </c>
      <c r="D13" s="231">
        <v>-272.15871256470416</v>
      </c>
      <c r="E13" s="231">
        <v>-261.98455508564973</v>
      </c>
      <c r="F13" s="231">
        <v>-249.26685823683169</v>
      </c>
      <c r="G13" s="231">
        <v>-267.07163382517683</v>
      </c>
      <c r="H13" s="231">
        <v>-292.50702752281268</v>
      </c>
      <c r="I13" s="231">
        <v>-279.78933067399487</v>
      </c>
      <c r="J13" s="231">
        <v>-277.24579130423126</v>
      </c>
      <c r="K13" s="231">
        <v>-284.87640941352197</v>
      </c>
      <c r="L13" s="231">
        <v>-272.15871256470416</v>
      </c>
      <c r="M13" s="231">
        <v>-264.52809445541322</v>
      </c>
      <c r="N13" s="231">
        <v>-256.89747634612263</v>
      </c>
      <c r="O13" s="232">
        <v>-3243.0126964485762</v>
      </c>
    </row>
    <row r="14" spans="1:15" ht="13" x14ac:dyDescent="0.3">
      <c r="A14" s="214"/>
      <c r="B14" s="93" t="s">
        <v>26</v>
      </c>
      <c r="C14" s="230">
        <v>-21.721964848980573</v>
      </c>
      <c r="D14" s="231">
        <v>-22.348559988855012</v>
      </c>
      <c r="E14" s="231">
        <v>-21.513099802355761</v>
      </c>
      <c r="F14" s="231">
        <v>-20.468774569231694</v>
      </c>
      <c r="G14" s="231">
        <v>-21.930829895605388</v>
      </c>
      <c r="H14" s="231">
        <v>-24.019480361853518</v>
      </c>
      <c r="I14" s="231">
        <v>-22.975155128729455</v>
      </c>
      <c r="J14" s="231">
        <v>-22.766290082104639</v>
      </c>
      <c r="K14" s="231">
        <v>-23.392885221979078</v>
      </c>
      <c r="L14" s="231">
        <v>-22.348559988855012</v>
      </c>
      <c r="M14" s="231">
        <v>-21.721964848980573</v>
      </c>
      <c r="N14" s="231">
        <v>-21.095369709106134</v>
      </c>
      <c r="O14" s="232">
        <v>-266.30293444663681</v>
      </c>
    </row>
    <row r="15" spans="1:15" ht="13" x14ac:dyDescent="0.3">
      <c r="A15" s="214"/>
      <c r="B15" s="93" t="s">
        <v>27</v>
      </c>
      <c r="C15" s="230">
        <v>-286.2500593043938</v>
      </c>
      <c r="D15" s="231">
        <v>-294.50727255355918</v>
      </c>
      <c r="E15" s="231">
        <v>-283.49765488800551</v>
      </c>
      <c r="F15" s="231">
        <v>-269.73563280606339</v>
      </c>
      <c r="G15" s="231">
        <v>-289.0024637207822</v>
      </c>
      <c r="H15" s="231">
        <v>-316.52650788466622</v>
      </c>
      <c r="I15" s="231">
        <v>-302.76448580272432</v>
      </c>
      <c r="J15" s="231">
        <v>-300.01208138633592</v>
      </c>
      <c r="K15" s="231">
        <v>-308.26929463550107</v>
      </c>
      <c r="L15" s="231">
        <v>-294.50727255355918</v>
      </c>
      <c r="M15" s="231">
        <v>-286.2500593043938</v>
      </c>
      <c r="N15" s="231">
        <v>-277.99284605522877</v>
      </c>
      <c r="O15" s="232">
        <v>-3509.315630895213</v>
      </c>
    </row>
    <row r="16" spans="1:15" x14ac:dyDescent="0.25">
      <c r="A16" s="214"/>
      <c r="B16" s="93" t="s">
        <v>49</v>
      </c>
      <c r="C16" s="94">
        <v>1155.9854931700474</v>
      </c>
      <c r="D16" s="82">
        <v>1189.3312285499528</v>
      </c>
      <c r="E16" s="82">
        <v>1144.8702480434124</v>
      </c>
      <c r="F16" s="82">
        <v>1089.2940224102369</v>
      </c>
      <c r="G16" s="82">
        <v>1167.1007382966825</v>
      </c>
      <c r="H16" s="82">
        <v>1278.2531895630332</v>
      </c>
      <c r="I16" s="82">
        <v>1222.6769639298579</v>
      </c>
      <c r="J16" s="82">
        <v>1211.5617188032229</v>
      </c>
      <c r="K16" s="82">
        <v>1244.907454183128</v>
      </c>
      <c r="L16" s="82">
        <v>1189.3312285499528</v>
      </c>
      <c r="M16" s="82">
        <v>1155.9854931700474</v>
      </c>
      <c r="N16" s="82">
        <v>1122.6397577901423</v>
      </c>
      <c r="O16" s="95">
        <v>14171.937536459716</v>
      </c>
    </row>
    <row r="17" spans="1:15" x14ac:dyDescent="0.25">
      <c r="A17" s="214"/>
      <c r="B17" s="93" t="s">
        <v>87</v>
      </c>
      <c r="C17" s="94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95">
        <v>0</v>
      </c>
    </row>
    <row r="18" spans="1:15" x14ac:dyDescent="0.25">
      <c r="A18" s="214"/>
      <c r="B18" s="93" t="s">
        <v>89</v>
      </c>
      <c r="C18" s="94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95">
        <v>0</v>
      </c>
    </row>
    <row r="19" spans="1:15" x14ac:dyDescent="0.25">
      <c r="A19" s="83" t="s">
        <v>13</v>
      </c>
      <c r="B19" s="83" t="s">
        <v>70</v>
      </c>
      <c r="C19" s="90">
        <v>8288.839466894724</v>
      </c>
      <c r="D19" s="91">
        <v>8185.9789978122662</v>
      </c>
      <c r="E19" s="91">
        <v>7474.5274199919331</v>
      </c>
      <c r="F19" s="91">
        <v>5160.1668656366328</v>
      </c>
      <c r="G19" s="91">
        <v>6094.482793135624</v>
      </c>
      <c r="H19" s="91">
        <v>8023.1165884317079</v>
      </c>
      <c r="I19" s="91">
        <v>7988.8297654042217</v>
      </c>
      <c r="J19" s="91">
        <v>8785.998400793269</v>
      </c>
      <c r="K19" s="91">
        <v>8005.9731769179643</v>
      </c>
      <c r="L19" s="91">
        <v>6000.194029810038</v>
      </c>
      <c r="M19" s="91">
        <v>7431.6688912075751</v>
      </c>
      <c r="N19" s="91">
        <v>7851.6824732942778</v>
      </c>
      <c r="O19" s="92">
        <v>89291.458869330236</v>
      </c>
    </row>
    <row r="20" spans="1:15" ht="13" x14ac:dyDescent="0.3">
      <c r="A20" s="214"/>
      <c r="B20" s="93" t="s">
        <v>25</v>
      </c>
      <c r="C20" s="230">
        <v>-2459.6025705613902</v>
      </c>
      <c r="D20" s="231">
        <v>-2429.0800981242282</v>
      </c>
      <c r="E20" s="231">
        <v>-2217.9663304338501</v>
      </c>
      <c r="F20" s="231">
        <v>-1531.2107005976804</v>
      </c>
      <c r="G20" s="231">
        <v>-1808.4564919019122</v>
      </c>
      <c r="H20" s="231">
        <v>-2380.75285009872</v>
      </c>
      <c r="I20" s="231">
        <v>-2370.5786926196652</v>
      </c>
      <c r="J20" s="231">
        <v>-2607.1278540076801</v>
      </c>
      <c r="K20" s="231">
        <v>-2375.6657713591931</v>
      </c>
      <c r="L20" s="231">
        <v>-1780.4775588345128</v>
      </c>
      <c r="M20" s="231">
        <v>-2205.2486335850317</v>
      </c>
      <c r="N20" s="231">
        <v>-2329.8820627034484</v>
      </c>
      <c r="O20" s="232">
        <v>-26496.049614827312</v>
      </c>
    </row>
    <row r="21" spans="1:15" ht="13" x14ac:dyDescent="0.3">
      <c r="A21" s="214"/>
      <c r="B21" s="93" t="s">
        <v>26</v>
      </c>
      <c r="C21" s="230">
        <v>-201.97250008619437</v>
      </c>
      <c r="D21" s="231">
        <v>-199.46611952669662</v>
      </c>
      <c r="E21" s="231">
        <v>-182.13032065683711</v>
      </c>
      <c r="F21" s="231">
        <v>-125.73675806813755</v>
      </c>
      <c r="G21" s="231">
        <v>-148.50304815024219</v>
      </c>
      <c r="H21" s="231">
        <v>-195.49768364082519</v>
      </c>
      <c r="I21" s="231">
        <v>-194.66222345432593</v>
      </c>
      <c r="J21" s="231">
        <v>-214.08667279043354</v>
      </c>
      <c r="K21" s="231">
        <v>-195.07995354757554</v>
      </c>
      <c r="L21" s="231">
        <v>-146.20553263736923</v>
      </c>
      <c r="M21" s="231">
        <v>-181.08599542371306</v>
      </c>
      <c r="N21" s="231">
        <v>-191.32038270832891</v>
      </c>
      <c r="O21" s="232">
        <v>-2175.7471906906794</v>
      </c>
    </row>
    <row r="22" spans="1:15" ht="13" x14ac:dyDescent="0.3">
      <c r="A22" s="214"/>
      <c r="B22" s="93" t="s">
        <v>27</v>
      </c>
      <c r="C22" s="230">
        <v>-2661.5750706475847</v>
      </c>
      <c r="D22" s="231">
        <v>-2628.546217650925</v>
      </c>
      <c r="E22" s="231">
        <v>-2400.0966510906874</v>
      </c>
      <c r="F22" s="231">
        <v>-1656.947458665818</v>
      </c>
      <c r="G22" s="231">
        <v>-1956.9595400521544</v>
      </c>
      <c r="H22" s="231">
        <v>-2576.2505337395451</v>
      </c>
      <c r="I22" s="231">
        <v>-2565.2409160739912</v>
      </c>
      <c r="J22" s="231">
        <v>-2821.2145267981136</v>
      </c>
      <c r="K22" s="231">
        <v>-2570.7457249067684</v>
      </c>
      <c r="L22" s="231">
        <v>-1926.6830914718821</v>
      </c>
      <c r="M22" s="231">
        <v>-2386.3346290087447</v>
      </c>
      <c r="N22" s="231">
        <v>-2521.2024454117773</v>
      </c>
      <c r="O22" s="232">
        <v>-28671.796805517988</v>
      </c>
    </row>
    <row r="23" spans="1:15" x14ac:dyDescent="0.25">
      <c r="A23" s="214"/>
      <c r="B23" s="93" t="s">
        <v>49</v>
      </c>
      <c r="C23" s="94">
        <v>10748.442037456114</v>
      </c>
      <c r="D23" s="82">
        <v>10615.059095936494</v>
      </c>
      <c r="E23" s="82">
        <v>9692.4937504257832</v>
      </c>
      <c r="F23" s="82">
        <v>6691.3775662343132</v>
      </c>
      <c r="G23" s="82">
        <v>7902.9392850375361</v>
      </c>
      <c r="H23" s="82">
        <v>10403.869438530428</v>
      </c>
      <c r="I23" s="82">
        <v>10359.408458023887</v>
      </c>
      <c r="J23" s="82">
        <v>11393.126254800949</v>
      </c>
      <c r="K23" s="82">
        <v>10381.638948277157</v>
      </c>
      <c r="L23" s="82">
        <v>7780.6715886445509</v>
      </c>
      <c r="M23" s="82">
        <v>9636.9175247926069</v>
      </c>
      <c r="N23" s="82">
        <v>10181.564535997726</v>
      </c>
      <c r="O23" s="95">
        <v>115787.50848415754</v>
      </c>
    </row>
    <row r="24" spans="1:15" x14ac:dyDescent="0.25">
      <c r="A24" s="214"/>
      <c r="B24" s="93" t="s">
        <v>87</v>
      </c>
      <c r="C24" s="94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95">
        <v>0</v>
      </c>
    </row>
    <row r="25" spans="1:15" x14ac:dyDescent="0.25">
      <c r="A25" s="214"/>
      <c r="B25" s="93" t="s">
        <v>89</v>
      </c>
      <c r="C25" s="94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95">
        <v>0</v>
      </c>
    </row>
    <row r="26" spans="1:15" x14ac:dyDescent="0.25">
      <c r="A26" s="83" t="s">
        <v>15</v>
      </c>
      <c r="B26" s="83" t="s">
        <v>70</v>
      </c>
      <c r="C26" s="90">
        <v>51.430234541228899</v>
      </c>
      <c r="D26" s="91">
        <v>42.858528784357411</v>
      </c>
      <c r="E26" s="91">
        <v>42.858528784357411</v>
      </c>
      <c r="F26" s="91">
        <v>60.001940298100379</v>
      </c>
      <c r="G26" s="91">
        <v>34.28682302748593</v>
      </c>
      <c r="H26" s="91">
        <v>120.00388059620076</v>
      </c>
      <c r="I26" s="91">
        <v>111.43217483932928</v>
      </c>
      <c r="J26" s="91">
        <v>162.86240938055818</v>
      </c>
      <c r="K26" s="91">
        <v>154.29070362368668</v>
      </c>
      <c r="L26" s="91">
        <v>51.430234541228899</v>
      </c>
      <c r="M26" s="91">
        <v>51.430234541228899</v>
      </c>
      <c r="N26" s="91">
        <v>42.858528784357411</v>
      </c>
      <c r="O26" s="92">
        <v>925.74422174212009</v>
      </c>
    </row>
    <row r="27" spans="1:15" ht="13" x14ac:dyDescent="0.3">
      <c r="A27" s="214"/>
      <c r="B27" s="93" t="s">
        <v>25</v>
      </c>
      <c r="C27" s="230">
        <v>-15.26123621858153</v>
      </c>
      <c r="D27" s="231">
        <v>-12.717696848817951</v>
      </c>
      <c r="E27" s="231">
        <v>-12.717696848817951</v>
      </c>
      <c r="F27" s="231">
        <v>-17.804775588345123</v>
      </c>
      <c r="G27" s="231">
        <v>-10.174157479054358</v>
      </c>
      <c r="H27" s="231">
        <v>-35.609551176690246</v>
      </c>
      <c r="I27" s="231">
        <v>-33.066011806926653</v>
      </c>
      <c r="J27" s="231">
        <v>-48.327248025508197</v>
      </c>
      <c r="K27" s="231">
        <v>-45.783708655744618</v>
      </c>
      <c r="L27" s="231">
        <v>-15.26123621858153</v>
      </c>
      <c r="M27" s="231">
        <v>-15.26123621858153</v>
      </c>
      <c r="N27" s="231">
        <v>-12.717696848817951</v>
      </c>
      <c r="O27" s="232">
        <v>-274.70225193446765</v>
      </c>
    </row>
    <row r="28" spans="1:15" ht="13" x14ac:dyDescent="0.3">
      <c r="A28" s="214"/>
      <c r="B28" s="93" t="s">
        <v>26</v>
      </c>
      <c r="C28" s="230">
        <v>-1.2531902797488792</v>
      </c>
      <c r="D28" s="231">
        <v>-1.044325233124066</v>
      </c>
      <c r="E28" s="231">
        <v>-1.044325233124066</v>
      </c>
      <c r="F28" s="231">
        <v>-1.4620553263736924</v>
      </c>
      <c r="G28" s="231">
        <v>-0.8354601864992528</v>
      </c>
      <c r="H28" s="231">
        <v>-2.9241106527473848</v>
      </c>
      <c r="I28" s="231">
        <v>-2.7152456061225716</v>
      </c>
      <c r="J28" s="231">
        <v>-3.9684358858714512</v>
      </c>
      <c r="K28" s="231">
        <v>-3.7595708392466376</v>
      </c>
      <c r="L28" s="231">
        <v>-1.2531902797488792</v>
      </c>
      <c r="M28" s="231">
        <v>-1.2531902797488792</v>
      </c>
      <c r="N28" s="231">
        <v>-1.044325233124066</v>
      </c>
      <c r="O28" s="232">
        <v>-22.557425035479824</v>
      </c>
    </row>
    <row r="29" spans="1:15" ht="13" x14ac:dyDescent="0.3">
      <c r="A29" s="214"/>
      <c r="B29" s="93" t="s">
        <v>27</v>
      </c>
      <c r="C29" s="230">
        <v>-16.514426498330408</v>
      </c>
      <c r="D29" s="231">
        <v>-13.762022081942018</v>
      </c>
      <c r="E29" s="231">
        <v>-13.762022081942018</v>
      </c>
      <c r="F29" s="231">
        <v>-19.266830914718817</v>
      </c>
      <c r="G29" s="231">
        <v>-11.009617665553611</v>
      </c>
      <c r="H29" s="231">
        <v>-38.533661829437634</v>
      </c>
      <c r="I29" s="231">
        <v>-35.781257413049225</v>
      </c>
      <c r="J29" s="231">
        <v>-52.295683911379648</v>
      </c>
      <c r="K29" s="231">
        <v>-49.543279494991253</v>
      </c>
      <c r="L29" s="231">
        <v>-16.514426498330408</v>
      </c>
      <c r="M29" s="231">
        <v>-16.514426498330408</v>
      </c>
      <c r="N29" s="231">
        <v>-13.762022081942018</v>
      </c>
      <c r="O29" s="232">
        <v>-297.25967696994746</v>
      </c>
    </row>
    <row r="30" spans="1:15" x14ac:dyDescent="0.25">
      <c r="A30" s="214"/>
      <c r="B30" s="93" t="s">
        <v>49</v>
      </c>
      <c r="C30" s="94">
        <v>66.691470759810429</v>
      </c>
      <c r="D30" s="82">
        <v>55.576225633175362</v>
      </c>
      <c r="E30" s="82">
        <v>55.576225633175362</v>
      </c>
      <c r="F30" s="82">
        <v>77.806715886445502</v>
      </c>
      <c r="G30" s="82">
        <v>44.460980506540288</v>
      </c>
      <c r="H30" s="82">
        <v>155.613431772891</v>
      </c>
      <c r="I30" s="82">
        <v>144.49818664625593</v>
      </c>
      <c r="J30" s="82">
        <v>211.18965740606637</v>
      </c>
      <c r="K30" s="82">
        <v>200.0744122794313</v>
      </c>
      <c r="L30" s="82">
        <v>66.691470759810429</v>
      </c>
      <c r="M30" s="82">
        <v>66.691470759810429</v>
      </c>
      <c r="N30" s="82">
        <v>55.576225633175362</v>
      </c>
      <c r="O30" s="95">
        <v>1200.4464736765881</v>
      </c>
    </row>
    <row r="31" spans="1:15" x14ac:dyDescent="0.25">
      <c r="A31" s="214"/>
      <c r="B31" s="93" t="s">
        <v>87</v>
      </c>
      <c r="C31" s="94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95">
        <v>0</v>
      </c>
    </row>
    <row r="32" spans="1:15" x14ac:dyDescent="0.25">
      <c r="A32" s="214"/>
      <c r="B32" s="93" t="s">
        <v>89</v>
      </c>
      <c r="C32" s="94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95">
        <v>0</v>
      </c>
    </row>
    <row r="33" spans="1:15" x14ac:dyDescent="0.25">
      <c r="A33" s="83" t="s">
        <v>16</v>
      </c>
      <c r="B33" s="83" t="s">
        <v>70</v>
      </c>
      <c r="C33" s="90">
        <v>34.28682302748593</v>
      </c>
      <c r="D33" s="91">
        <v>42.858528784357411</v>
      </c>
      <c r="E33" s="91">
        <v>8.5717057568714825</v>
      </c>
      <c r="F33" s="91">
        <v>60.001940298100379</v>
      </c>
      <c r="G33" s="91">
        <v>25.715117270614449</v>
      </c>
      <c r="H33" s="91">
        <v>60.001940298100379</v>
      </c>
      <c r="I33" s="91">
        <v>42.858528784357411</v>
      </c>
      <c r="J33" s="91">
        <v>42.858528784357411</v>
      </c>
      <c r="K33" s="91">
        <v>51.430234541228899</v>
      </c>
      <c r="L33" s="91">
        <v>42.858528784357411</v>
      </c>
      <c r="M33" s="91">
        <v>34.28682302748593</v>
      </c>
      <c r="N33" s="91">
        <v>34.28682302748593</v>
      </c>
      <c r="O33" s="92">
        <v>480.01552238480303</v>
      </c>
    </row>
    <row r="34" spans="1:15" ht="13" x14ac:dyDescent="0.3">
      <c r="A34" s="214"/>
      <c r="B34" s="93" t="s">
        <v>25</v>
      </c>
      <c r="C34" s="230">
        <v>-10.174157479054358</v>
      </c>
      <c r="D34" s="231">
        <v>-12.717696848817951</v>
      </c>
      <c r="E34" s="231">
        <v>-2.5435393697635895</v>
      </c>
      <c r="F34" s="231">
        <v>-17.804775588345123</v>
      </c>
      <c r="G34" s="231">
        <v>-7.630618109290765</v>
      </c>
      <c r="H34" s="231">
        <v>-17.804775588345123</v>
      </c>
      <c r="I34" s="231">
        <v>-12.717696848817951</v>
      </c>
      <c r="J34" s="231">
        <v>-12.717696848817951</v>
      </c>
      <c r="K34" s="231">
        <v>-15.26123621858153</v>
      </c>
      <c r="L34" s="231">
        <v>-12.717696848817951</v>
      </c>
      <c r="M34" s="231">
        <v>-10.174157479054358</v>
      </c>
      <c r="N34" s="231">
        <v>-10.174157479054358</v>
      </c>
      <c r="O34" s="232">
        <v>-142.43820470676104</v>
      </c>
    </row>
    <row r="35" spans="1:15" ht="13" x14ac:dyDescent="0.3">
      <c r="A35" s="214"/>
      <c r="B35" s="93" t="s">
        <v>26</v>
      </c>
      <c r="C35" s="230">
        <v>-0.8354601864992528</v>
      </c>
      <c r="D35" s="231">
        <v>-1.044325233124066</v>
      </c>
      <c r="E35" s="231">
        <v>-0.2088650466248132</v>
      </c>
      <c r="F35" s="231">
        <v>-1.4620553263736924</v>
      </c>
      <c r="G35" s="231">
        <v>-0.6265951398744396</v>
      </c>
      <c r="H35" s="231">
        <v>-1.4620553263736924</v>
      </c>
      <c r="I35" s="231">
        <v>-1.044325233124066</v>
      </c>
      <c r="J35" s="231">
        <v>-1.044325233124066</v>
      </c>
      <c r="K35" s="231">
        <v>-1.2531902797488792</v>
      </c>
      <c r="L35" s="231">
        <v>-1.044325233124066</v>
      </c>
      <c r="M35" s="231">
        <v>-0.8354601864992528</v>
      </c>
      <c r="N35" s="231">
        <v>-0.8354601864992528</v>
      </c>
      <c r="O35" s="232">
        <v>-11.696442610989539</v>
      </c>
    </row>
    <row r="36" spans="1:15" ht="13" x14ac:dyDescent="0.3">
      <c r="A36" s="214"/>
      <c r="B36" s="93" t="s">
        <v>27</v>
      </c>
      <c r="C36" s="230">
        <v>-11.009617665553611</v>
      </c>
      <c r="D36" s="231">
        <v>-13.762022081942018</v>
      </c>
      <c r="E36" s="231">
        <v>-2.7524044163884027</v>
      </c>
      <c r="F36" s="231">
        <v>-19.266830914718817</v>
      </c>
      <c r="G36" s="231">
        <v>-8.2572132491652042</v>
      </c>
      <c r="H36" s="231">
        <v>-19.266830914718817</v>
      </c>
      <c r="I36" s="231">
        <v>-13.762022081942018</v>
      </c>
      <c r="J36" s="231">
        <v>-13.762022081942018</v>
      </c>
      <c r="K36" s="231">
        <v>-16.514426498330408</v>
      </c>
      <c r="L36" s="231">
        <v>-13.762022081942018</v>
      </c>
      <c r="M36" s="231">
        <v>-11.009617665553611</v>
      </c>
      <c r="N36" s="231">
        <v>-11.009617665553611</v>
      </c>
      <c r="O36" s="232">
        <v>-154.13464731775053</v>
      </c>
    </row>
    <row r="37" spans="1:15" x14ac:dyDescent="0.25">
      <c r="A37" s="214"/>
      <c r="B37" s="93" t="s">
        <v>49</v>
      </c>
      <c r="C37" s="94">
        <v>44.460980506540288</v>
      </c>
      <c r="D37" s="82">
        <v>55.576225633175362</v>
      </c>
      <c r="E37" s="82">
        <v>11.115245126635072</v>
      </c>
      <c r="F37" s="82">
        <v>77.806715886445502</v>
      </c>
      <c r="G37" s="82">
        <v>33.345735379905214</v>
      </c>
      <c r="H37" s="82">
        <v>77.806715886445502</v>
      </c>
      <c r="I37" s="82">
        <v>55.576225633175362</v>
      </c>
      <c r="J37" s="82">
        <v>55.576225633175362</v>
      </c>
      <c r="K37" s="82">
        <v>66.691470759810429</v>
      </c>
      <c r="L37" s="82">
        <v>55.576225633175362</v>
      </c>
      <c r="M37" s="82">
        <v>44.460980506540288</v>
      </c>
      <c r="N37" s="82">
        <v>44.460980506540288</v>
      </c>
      <c r="O37" s="95">
        <v>622.45372709156402</v>
      </c>
    </row>
    <row r="38" spans="1:15" x14ac:dyDescent="0.25">
      <c r="A38" s="214"/>
      <c r="B38" s="93" t="s">
        <v>87</v>
      </c>
      <c r="C38" s="94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95">
        <v>0</v>
      </c>
    </row>
    <row r="39" spans="1:15" x14ac:dyDescent="0.25">
      <c r="A39" s="214"/>
      <c r="B39" s="93" t="s">
        <v>89</v>
      </c>
      <c r="C39" s="94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95">
        <v>0</v>
      </c>
    </row>
    <row r="40" spans="1:15" x14ac:dyDescent="0.25">
      <c r="A40" s="83" t="s">
        <v>19</v>
      </c>
      <c r="B40" s="83" t="s">
        <v>70</v>
      </c>
      <c r="C40" s="90">
        <v>540.01746268290344</v>
      </c>
      <c r="D40" s="91">
        <v>540.01746268290344</v>
      </c>
      <c r="E40" s="91">
        <v>574.30428571038931</v>
      </c>
      <c r="F40" s="91">
        <v>531.44575692603189</v>
      </c>
      <c r="G40" s="91">
        <v>437.15699360044562</v>
      </c>
      <c r="H40" s="91">
        <v>574.30428571038931</v>
      </c>
      <c r="I40" s="91">
        <v>565.73257995351787</v>
      </c>
      <c r="J40" s="91">
        <v>522.87405116916045</v>
      </c>
      <c r="K40" s="91">
        <v>471.44381662793154</v>
      </c>
      <c r="L40" s="91">
        <v>505.73063965541746</v>
      </c>
      <c r="M40" s="91">
        <v>540.01746268290344</v>
      </c>
      <c r="N40" s="91">
        <v>540.01746268290344</v>
      </c>
      <c r="O40" s="92">
        <v>6343.0622600848965</v>
      </c>
    </row>
    <row r="41" spans="1:15" ht="13" x14ac:dyDescent="0.3">
      <c r="A41" s="214"/>
      <c r="B41" s="93" t="s">
        <v>25</v>
      </c>
      <c r="C41" s="230">
        <v>-160.24298029510612</v>
      </c>
      <c r="D41" s="231">
        <v>-160.24298029510612</v>
      </c>
      <c r="E41" s="231">
        <v>-170.41713777416055</v>
      </c>
      <c r="F41" s="231">
        <v>-157.69944092534263</v>
      </c>
      <c r="G41" s="231">
        <v>-129.72050785794306</v>
      </c>
      <c r="H41" s="231">
        <v>-170.41713777416055</v>
      </c>
      <c r="I41" s="231">
        <v>-167.87359840439683</v>
      </c>
      <c r="J41" s="231">
        <v>-155.15590155557891</v>
      </c>
      <c r="K41" s="231">
        <v>-139.89466533699743</v>
      </c>
      <c r="L41" s="231">
        <v>-150.06882281605181</v>
      </c>
      <c r="M41" s="231">
        <v>-160.24298029510612</v>
      </c>
      <c r="N41" s="231">
        <v>-160.24298029510612</v>
      </c>
      <c r="O41" s="232">
        <v>-1882.2191336250562</v>
      </c>
    </row>
    <row r="42" spans="1:15" ht="13" x14ac:dyDescent="0.3">
      <c r="A42" s="214"/>
      <c r="B42" s="93" t="s">
        <v>26</v>
      </c>
      <c r="C42" s="230">
        <v>-13.158497937363231</v>
      </c>
      <c r="D42" s="231">
        <v>-13.158497937363231</v>
      </c>
      <c r="E42" s="231">
        <v>-13.993958123862486</v>
      </c>
      <c r="F42" s="231">
        <v>-12.949632890738418</v>
      </c>
      <c r="G42" s="231">
        <v>-10.652117377865473</v>
      </c>
      <c r="H42" s="231">
        <v>-13.993958123862486</v>
      </c>
      <c r="I42" s="231">
        <v>-13.785093077237672</v>
      </c>
      <c r="J42" s="231">
        <v>-12.740767844113606</v>
      </c>
      <c r="K42" s="231">
        <v>-11.487577564364727</v>
      </c>
      <c r="L42" s="231">
        <v>-12.323037750863978</v>
      </c>
      <c r="M42" s="231">
        <v>-13.158497937363231</v>
      </c>
      <c r="N42" s="231">
        <v>-13.158497937363231</v>
      </c>
      <c r="O42" s="232">
        <v>-154.56013450236176</v>
      </c>
    </row>
    <row r="43" spans="1:15" ht="13" x14ac:dyDescent="0.3">
      <c r="A43" s="214"/>
      <c r="B43" s="93" t="s">
        <v>27</v>
      </c>
      <c r="C43" s="230">
        <v>-173.40147823246934</v>
      </c>
      <c r="D43" s="231">
        <v>-173.40147823246934</v>
      </c>
      <c r="E43" s="231">
        <v>-184.41109589802304</v>
      </c>
      <c r="F43" s="231">
        <v>-170.64907381608106</v>
      </c>
      <c r="G43" s="231">
        <v>-140.37262523580853</v>
      </c>
      <c r="H43" s="231">
        <v>-184.41109589802304</v>
      </c>
      <c r="I43" s="231">
        <v>-181.65869148163449</v>
      </c>
      <c r="J43" s="231">
        <v>-167.89666939969251</v>
      </c>
      <c r="K43" s="231">
        <v>-151.38224290136216</v>
      </c>
      <c r="L43" s="231">
        <v>-162.3918605669158</v>
      </c>
      <c r="M43" s="231">
        <v>-173.40147823246934</v>
      </c>
      <c r="N43" s="231">
        <v>-173.40147823246934</v>
      </c>
      <c r="O43" s="232">
        <v>-2036.7792681274177</v>
      </c>
    </row>
    <row r="44" spans="1:15" x14ac:dyDescent="0.25">
      <c r="A44" s="214"/>
      <c r="B44" s="93" t="s">
        <v>49</v>
      </c>
      <c r="C44" s="94">
        <v>700.26044297800956</v>
      </c>
      <c r="D44" s="82">
        <v>700.26044297800956</v>
      </c>
      <c r="E44" s="82">
        <v>744.72142348454986</v>
      </c>
      <c r="F44" s="82">
        <v>689.14519785137452</v>
      </c>
      <c r="G44" s="82">
        <v>566.87750145838868</v>
      </c>
      <c r="H44" s="82">
        <v>744.72142348454986</v>
      </c>
      <c r="I44" s="82">
        <v>733.6061783579147</v>
      </c>
      <c r="J44" s="82">
        <v>678.02995272473936</v>
      </c>
      <c r="K44" s="82">
        <v>611.33848196492897</v>
      </c>
      <c r="L44" s="82">
        <v>655.79946247146927</v>
      </c>
      <c r="M44" s="82">
        <v>700.26044297800956</v>
      </c>
      <c r="N44" s="82">
        <v>700.26044297800956</v>
      </c>
      <c r="O44" s="95">
        <v>8225.2813937099545</v>
      </c>
    </row>
    <row r="45" spans="1:15" x14ac:dyDescent="0.25">
      <c r="A45" s="214"/>
      <c r="B45" s="93" t="s">
        <v>87</v>
      </c>
      <c r="C45" s="94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95">
        <v>0</v>
      </c>
    </row>
    <row r="46" spans="1:15" x14ac:dyDescent="0.25">
      <c r="A46" s="214"/>
      <c r="B46" s="93" t="s">
        <v>89</v>
      </c>
      <c r="C46" s="94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95">
        <v>0</v>
      </c>
    </row>
    <row r="47" spans="1:15" x14ac:dyDescent="0.25">
      <c r="A47" s="83" t="s">
        <v>8</v>
      </c>
      <c r="B47" s="83" t="s">
        <v>70</v>
      </c>
      <c r="C47" s="90">
        <v>720.02328357720455</v>
      </c>
      <c r="D47" s="91">
        <v>711.451577820333</v>
      </c>
      <c r="E47" s="91">
        <v>651.44963752223271</v>
      </c>
      <c r="F47" s="91">
        <v>591.4476972241323</v>
      </c>
      <c r="G47" s="91">
        <v>848.59886993027681</v>
      </c>
      <c r="H47" s="91">
        <v>1277.184157773851</v>
      </c>
      <c r="I47" s="91">
        <v>1268.6124520169794</v>
      </c>
      <c r="J47" s="91">
        <v>1371.4729210994371</v>
      </c>
      <c r="K47" s="91">
        <v>1328.6143923150798</v>
      </c>
      <c r="L47" s="91">
        <v>942.88763325586308</v>
      </c>
      <c r="M47" s="91">
        <v>600.01940298100374</v>
      </c>
      <c r="N47" s="91">
        <v>565.73257995351787</v>
      </c>
      <c r="O47" s="92">
        <v>10877.494605469912</v>
      </c>
    </row>
    <row r="48" spans="1:15" ht="13" x14ac:dyDescent="0.3">
      <c r="A48" s="214"/>
      <c r="B48" s="93" t="s">
        <v>25</v>
      </c>
      <c r="C48" s="230">
        <v>-213.65730706014153</v>
      </c>
      <c r="D48" s="231">
        <v>-211.11376769037793</v>
      </c>
      <c r="E48" s="231">
        <v>-193.30899210203279</v>
      </c>
      <c r="F48" s="231">
        <v>-175.50421651368765</v>
      </c>
      <c r="G48" s="231">
        <v>-251.81039760659542</v>
      </c>
      <c r="H48" s="231">
        <v>-378.98736609477464</v>
      </c>
      <c r="I48" s="231">
        <v>-376.44382672501115</v>
      </c>
      <c r="J48" s="231">
        <v>-406.96629916217444</v>
      </c>
      <c r="K48" s="231">
        <v>-394.24860231335629</v>
      </c>
      <c r="L48" s="231">
        <v>-279.78933067399487</v>
      </c>
      <c r="M48" s="231">
        <v>-178.04775588345126</v>
      </c>
      <c r="N48" s="231">
        <v>-167.87359840439683</v>
      </c>
      <c r="O48" s="232">
        <v>-3227.7514602299952</v>
      </c>
    </row>
    <row r="49" spans="1:15" ht="13" x14ac:dyDescent="0.3">
      <c r="A49" s="214"/>
      <c r="B49" s="93" t="s">
        <v>26</v>
      </c>
      <c r="C49" s="230">
        <v>-17.544663916484311</v>
      </c>
      <c r="D49" s="231">
        <v>-17.335798869859495</v>
      </c>
      <c r="E49" s="231">
        <v>-15.873743543485805</v>
      </c>
      <c r="F49" s="231">
        <v>-14.411688217112111</v>
      </c>
      <c r="G49" s="231">
        <v>-20.67763961585651</v>
      </c>
      <c r="H49" s="231">
        <v>-31.120891947097167</v>
      </c>
      <c r="I49" s="231">
        <v>-30.912026900472352</v>
      </c>
      <c r="J49" s="231">
        <v>-33.418407459970112</v>
      </c>
      <c r="K49" s="231">
        <v>-32.374082226846049</v>
      </c>
      <c r="L49" s="231">
        <v>-22.975155128729455</v>
      </c>
      <c r="M49" s="231">
        <v>-14.620553263736925</v>
      </c>
      <c r="N49" s="231">
        <v>-13.785093077237672</v>
      </c>
      <c r="O49" s="232">
        <v>-265.04974416688799</v>
      </c>
    </row>
    <row r="50" spans="1:15" ht="13" x14ac:dyDescent="0.3">
      <c r="A50" s="214"/>
      <c r="B50" s="93" t="s">
        <v>27</v>
      </c>
      <c r="C50" s="230">
        <v>-231.20197097662583</v>
      </c>
      <c r="D50" s="231">
        <v>-228.44956656023743</v>
      </c>
      <c r="E50" s="231">
        <v>-209.18273564551859</v>
      </c>
      <c r="F50" s="231">
        <v>-189.91590473079975</v>
      </c>
      <c r="G50" s="231">
        <v>-272.48803722245191</v>
      </c>
      <c r="H50" s="231">
        <v>-410.10825804187181</v>
      </c>
      <c r="I50" s="231">
        <v>-407.35585362548352</v>
      </c>
      <c r="J50" s="231">
        <v>-440.38470662214456</v>
      </c>
      <c r="K50" s="231">
        <v>-426.62268454020233</v>
      </c>
      <c r="L50" s="231">
        <v>-302.76448580272432</v>
      </c>
      <c r="M50" s="231">
        <v>-192.66830914718818</v>
      </c>
      <c r="N50" s="231">
        <v>-181.65869148163449</v>
      </c>
      <c r="O50" s="232">
        <v>-3492.8012043968829</v>
      </c>
    </row>
    <row r="51" spans="1:15" x14ac:dyDescent="0.25">
      <c r="A51" s="214"/>
      <c r="B51" s="93" t="s">
        <v>49</v>
      </c>
      <c r="C51" s="94">
        <v>933.68059063734609</v>
      </c>
      <c r="D51" s="82">
        <v>922.56534551071093</v>
      </c>
      <c r="E51" s="82">
        <v>844.7586296242655</v>
      </c>
      <c r="F51" s="82">
        <v>766.95191373781995</v>
      </c>
      <c r="G51" s="82">
        <v>1100.4092675368722</v>
      </c>
      <c r="H51" s="82">
        <v>1656.1715238686256</v>
      </c>
      <c r="I51" s="82">
        <v>1645.0562787419906</v>
      </c>
      <c r="J51" s="82">
        <v>1778.4392202616116</v>
      </c>
      <c r="K51" s="82">
        <v>1722.8629946284361</v>
      </c>
      <c r="L51" s="82">
        <v>1222.6769639298579</v>
      </c>
      <c r="M51" s="82">
        <v>778.067158864455</v>
      </c>
      <c r="N51" s="82">
        <v>733.6061783579147</v>
      </c>
      <c r="O51" s="95">
        <v>14105.246065699906</v>
      </c>
    </row>
    <row r="52" spans="1:15" x14ac:dyDescent="0.25">
      <c r="A52" s="214"/>
      <c r="B52" s="93" t="s">
        <v>87</v>
      </c>
      <c r="C52" s="94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95">
        <v>0</v>
      </c>
    </row>
    <row r="53" spans="1:15" x14ac:dyDescent="0.25">
      <c r="A53" s="214"/>
      <c r="B53" s="93" t="s">
        <v>89</v>
      </c>
      <c r="C53" s="94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95">
        <v>0</v>
      </c>
    </row>
    <row r="54" spans="1:15" x14ac:dyDescent="0.25">
      <c r="A54" s="83" t="s">
        <v>21</v>
      </c>
      <c r="B54" s="83" t="s">
        <v>70</v>
      </c>
      <c r="C54" s="90">
        <v>24086.493176808865</v>
      </c>
      <c r="D54" s="91">
        <v>23752.196652290877</v>
      </c>
      <c r="E54" s="91">
        <v>20477.805053165972</v>
      </c>
      <c r="F54" s="91">
        <v>20503.520170436586</v>
      </c>
      <c r="G54" s="91">
        <v>27695.181300451761</v>
      </c>
      <c r="H54" s="91">
        <v>35143.993603173076</v>
      </c>
      <c r="I54" s="91">
        <v>34183.962558403473</v>
      </c>
      <c r="J54" s="91">
        <v>36558.325053056869</v>
      </c>
      <c r="K54" s="91">
        <v>34423.970319595872</v>
      </c>
      <c r="L54" s="91">
        <v>26615.146375085955</v>
      </c>
      <c r="M54" s="91">
        <v>21540.696567018036</v>
      </c>
      <c r="N54" s="91">
        <v>21206.400042500049</v>
      </c>
      <c r="O54" s="92">
        <v>326187.69087198743</v>
      </c>
    </row>
    <row r="55" spans="1:15" ht="13" x14ac:dyDescent="0.3">
      <c r="A55" s="214"/>
      <c r="B55" s="93" t="s">
        <v>25</v>
      </c>
      <c r="C55" s="230">
        <v>-7147.345629035688</v>
      </c>
      <c r="D55" s="231">
        <v>-7048.1475936149072</v>
      </c>
      <c r="E55" s="231">
        <v>-6076.5155543652145</v>
      </c>
      <c r="F55" s="231">
        <v>-6084.1461724745059</v>
      </c>
      <c r="G55" s="231">
        <v>-8218.1757037061543</v>
      </c>
      <c r="H55" s="231">
        <v>-10428.51141603072</v>
      </c>
      <c r="I55" s="231">
        <v>-10143.635006617194</v>
      </c>
      <c r="J55" s="231">
        <v>-10848.195412041714</v>
      </c>
      <c r="K55" s="231">
        <v>-10214.854108970576</v>
      </c>
      <c r="L55" s="231">
        <v>-7897.689743115945</v>
      </c>
      <c r="M55" s="231">
        <v>-6391.9144362158986</v>
      </c>
      <c r="N55" s="231">
        <v>-6292.7164007951178</v>
      </c>
      <c r="O55" s="232">
        <v>-96791.847176983647</v>
      </c>
    </row>
    <row r="56" spans="1:15" ht="13" x14ac:dyDescent="0.3">
      <c r="A56" s="214"/>
      <c r="B56" s="93" t="s">
        <v>26</v>
      </c>
      <c r="C56" s="230">
        <v>-586.91078101572509</v>
      </c>
      <c r="D56" s="231">
        <v>-578.76504419735738</v>
      </c>
      <c r="E56" s="231">
        <v>-498.97859638667876</v>
      </c>
      <c r="F56" s="231">
        <v>-499.6051915265532</v>
      </c>
      <c r="G56" s="231">
        <v>-674.84296564477143</v>
      </c>
      <c r="H56" s="231">
        <v>-856.34669116173416</v>
      </c>
      <c r="I56" s="231">
        <v>-832.95380593975506</v>
      </c>
      <c r="J56" s="231">
        <v>-890.80942385482831</v>
      </c>
      <c r="K56" s="231">
        <v>-838.80202724524986</v>
      </c>
      <c r="L56" s="231">
        <v>-648.52596977004498</v>
      </c>
      <c r="M56" s="231">
        <v>-524.87786216815562</v>
      </c>
      <c r="N56" s="231">
        <v>-516.73212534978791</v>
      </c>
      <c r="O56" s="232">
        <v>-7948.150484260641</v>
      </c>
    </row>
    <row r="57" spans="1:15" ht="13" x14ac:dyDescent="0.3">
      <c r="A57" s="214"/>
      <c r="B57" s="93" t="s">
        <v>27</v>
      </c>
      <c r="C57" s="230">
        <v>-7734.2564100514128</v>
      </c>
      <c r="D57" s="231">
        <v>-7626.9126378122646</v>
      </c>
      <c r="E57" s="231">
        <v>-6575.4941507518934</v>
      </c>
      <c r="F57" s="231">
        <v>-6583.7513640010593</v>
      </c>
      <c r="G57" s="231">
        <v>-8893.0186693509258</v>
      </c>
      <c r="H57" s="231">
        <v>-11284.858107192455</v>
      </c>
      <c r="I57" s="231">
        <v>-10976.588812556949</v>
      </c>
      <c r="J57" s="231">
        <v>-11739.004835896543</v>
      </c>
      <c r="K57" s="231">
        <v>-11053.656136215826</v>
      </c>
      <c r="L57" s="231">
        <v>-8546.2157128859908</v>
      </c>
      <c r="M57" s="231">
        <v>-6916.7922983840544</v>
      </c>
      <c r="N57" s="231">
        <v>-6809.4485261449054</v>
      </c>
      <c r="O57" s="232">
        <v>-104739.99766124428</v>
      </c>
    </row>
    <row r="58" spans="1:15" x14ac:dyDescent="0.25">
      <c r="A58" s="214"/>
      <c r="B58" s="93" t="s">
        <v>49</v>
      </c>
      <c r="C58" s="94">
        <v>31233.838805844553</v>
      </c>
      <c r="D58" s="82">
        <v>30800.344245905784</v>
      </c>
      <c r="E58" s="82">
        <v>26554.320607531186</v>
      </c>
      <c r="F58" s="82">
        <v>26587.666342911092</v>
      </c>
      <c r="G58" s="82">
        <v>35913.357004157915</v>
      </c>
      <c r="H58" s="82">
        <v>45572.505019203796</v>
      </c>
      <c r="I58" s="82">
        <v>44327.597565020667</v>
      </c>
      <c r="J58" s="82">
        <v>47406.520465098583</v>
      </c>
      <c r="K58" s="82">
        <v>44638.824428566448</v>
      </c>
      <c r="L58" s="82">
        <v>34512.8361182019</v>
      </c>
      <c r="M58" s="82">
        <v>27932.611003233935</v>
      </c>
      <c r="N58" s="82">
        <v>27499.116443295166</v>
      </c>
      <c r="O58" s="95">
        <v>422979.53804897098</v>
      </c>
    </row>
    <row r="59" spans="1:15" x14ac:dyDescent="0.25">
      <c r="A59" s="214"/>
      <c r="B59" s="93" t="s">
        <v>87</v>
      </c>
      <c r="C59" s="94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95">
        <v>0</v>
      </c>
    </row>
    <row r="60" spans="1:15" x14ac:dyDescent="0.25">
      <c r="A60" s="214"/>
      <c r="B60" s="93" t="s">
        <v>89</v>
      </c>
      <c r="C60" s="94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95">
        <v>0</v>
      </c>
    </row>
    <row r="61" spans="1:15" x14ac:dyDescent="0.25">
      <c r="A61" s="83" t="s">
        <v>22</v>
      </c>
      <c r="B61" s="83" t="s">
        <v>70</v>
      </c>
      <c r="C61" s="90">
        <v>23349.326481717919</v>
      </c>
      <c r="D61" s="91">
        <v>23632.192771694678</v>
      </c>
      <c r="E61" s="91">
        <v>22637.874903897584</v>
      </c>
      <c r="F61" s="91">
        <v>20717.812814358374</v>
      </c>
      <c r="G61" s="91">
        <v>24377.931172542496</v>
      </c>
      <c r="H61" s="91">
        <v>30000.97014905019</v>
      </c>
      <c r="I61" s="91">
        <v>30592.417846274322</v>
      </c>
      <c r="J61" s="91">
        <v>32281.043880378002</v>
      </c>
      <c r="K61" s="91">
        <v>29623.815095747843</v>
      </c>
      <c r="L61" s="91">
        <v>24086.493176808865</v>
      </c>
      <c r="M61" s="91">
        <v>21420.692686421833</v>
      </c>
      <c r="N61" s="91">
        <v>21703.558976398595</v>
      </c>
      <c r="O61" s="92">
        <v>304424.12995529076</v>
      </c>
    </row>
    <row r="62" spans="1:15" ht="13" x14ac:dyDescent="0.3">
      <c r="A62" s="214"/>
      <c r="B62" s="93" t="s">
        <v>25</v>
      </c>
      <c r="C62" s="230">
        <v>-6928.6012432360185</v>
      </c>
      <c r="D62" s="231">
        <v>-7012.5380424382165</v>
      </c>
      <c r="E62" s="231">
        <v>-6717.4874755456403</v>
      </c>
      <c r="F62" s="231">
        <v>-6147.7346567185959</v>
      </c>
      <c r="G62" s="231">
        <v>-7233.8259676076486</v>
      </c>
      <c r="H62" s="231">
        <v>-8902.3877941725586</v>
      </c>
      <c r="I62" s="231">
        <v>-9077.8920106862497</v>
      </c>
      <c r="J62" s="231">
        <v>-9578.9692665296789</v>
      </c>
      <c r="K62" s="231">
        <v>-8790.4720619029686</v>
      </c>
      <c r="L62" s="231">
        <v>-7147.345629035688</v>
      </c>
      <c r="M62" s="231">
        <v>-6356.3048850392115</v>
      </c>
      <c r="N62" s="231">
        <v>-6440.2416842414059</v>
      </c>
      <c r="O62" s="232">
        <v>-90333.800717153877</v>
      </c>
    </row>
    <row r="63" spans="1:15" ht="13" x14ac:dyDescent="0.3">
      <c r="A63" s="214"/>
      <c r="B63" s="93" t="s">
        <v>26</v>
      </c>
      <c r="C63" s="230">
        <v>-568.94838700599121</v>
      </c>
      <c r="D63" s="231">
        <v>-575.84093354461004</v>
      </c>
      <c r="E63" s="231">
        <v>-551.61258813613165</v>
      </c>
      <c r="F63" s="231">
        <v>-504.82681769217351</v>
      </c>
      <c r="G63" s="231">
        <v>-594.01219260096877</v>
      </c>
      <c r="H63" s="231">
        <v>-731.02766318684621</v>
      </c>
      <c r="I63" s="231">
        <v>-745.43935140395843</v>
      </c>
      <c r="J63" s="231">
        <v>-786.58576558904645</v>
      </c>
      <c r="K63" s="231">
        <v>-721.83760113535448</v>
      </c>
      <c r="L63" s="231">
        <v>-586.91078101572509</v>
      </c>
      <c r="M63" s="231">
        <v>-521.95375151540827</v>
      </c>
      <c r="N63" s="231">
        <v>-528.84629805402699</v>
      </c>
      <c r="O63" s="232">
        <v>-7417.8421308802408</v>
      </c>
    </row>
    <row r="64" spans="1:15" ht="13" x14ac:dyDescent="0.3">
      <c r="A64" s="214"/>
      <c r="B64" s="93" t="s">
        <v>27</v>
      </c>
      <c r="C64" s="230">
        <v>-7497.5496302420097</v>
      </c>
      <c r="D64" s="231">
        <v>-7588.3789759828269</v>
      </c>
      <c r="E64" s="231">
        <v>-7269.1000636817716</v>
      </c>
      <c r="F64" s="231">
        <v>-6652.5614744107697</v>
      </c>
      <c r="G64" s="231">
        <v>-7827.8381602086174</v>
      </c>
      <c r="H64" s="231">
        <v>-9633.4154573594042</v>
      </c>
      <c r="I64" s="231">
        <v>-9823.3313620902081</v>
      </c>
      <c r="J64" s="231">
        <v>-10365.555032118726</v>
      </c>
      <c r="K64" s="231">
        <v>-9512.3096630383225</v>
      </c>
      <c r="L64" s="231">
        <v>-7734.2564100514128</v>
      </c>
      <c r="M64" s="231">
        <v>-6878.2586365546194</v>
      </c>
      <c r="N64" s="231">
        <v>-6969.087982295433</v>
      </c>
      <c r="O64" s="232">
        <v>-97751.642848034113</v>
      </c>
    </row>
    <row r="65" spans="1:15" x14ac:dyDescent="0.25">
      <c r="A65" s="214"/>
      <c r="B65" s="93" t="s">
        <v>49</v>
      </c>
      <c r="C65" s="94">
        <v>30277.927724953937</v>
      </c>
      <c r="D65" s="82">
        <v>30644.730814132894</v>
      </c>
      <c r="E65" s="82">
        <v>29355.362379443224</v>
      </c>
      <c r="F65" s="82">
        <v>26865.54747107697</v>
      </c>
      <c r="G65" s="82">
        <v>31611.757140150145</v>
      </c>
      <c r="H65" s="82">
        <v>38903.357943222749</v>
      </c>
      <c r="I65" s="82">
        <v>39670.309856960572</v>
      </c>
      <c r="J65" s="82">
        <v>41860.01314690768</v>
      </c>
      <c r="K65" s="82">
        <v>38414.287157650811</v>
      </c>
      <c r="L65" s="82">
        <v>31233.838805844553</v>
      </c>
      <c r="M65" s="82">
        <v>27776.997571461045</v>
      </c>
      <c r="N65" s="82">
        <v>28143.800660640001</v>
      </c>
      <c r="O65" s="95">
        <v>394757.93067244452</v>
      </c>
    </row>
    <row r="66" spans="1:15" x14ac:dyDescent="0.25">
      <c r="A66" s="214"/>
      <c r="B66" s="93" t="s">
        <v>87</v>
      </c>
      <c r="C66" s="94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95">
        <v>0</v>
      </c>
    </row>
    <row r="67" spans="1:15" x14ac:dyDescent="0.25">
      <c r="A67" s="214"/>
      <c r="B67" s="93" t="s">
        <v>89</v>
      </c>
      <c r="C67" s="94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95">
        <v>0</v>
      </c>
    </row>
    <row r="68" spans="1:15" x14ac:dyDescent="0.25">
      <c r="A68" s="83" t="s">
        <v>9</v>
      </c>
      <c r="B68" s="83" t="s">
        <v>70</v>
      </c>
      <c r="C68" s="90">
        <v>454.30040511418855</v>
      </c>
      <c r="D68" s="91">
        <v>471.44381662793154</v>
      </c>
      <c r="E68" s="91">
        <v>394.2984648160882</v>
      </c>
      <c r="F68" s="91">
        <v>282.86628997675894</v>
      </c>
      <c r="G68" s="91">
        <v>377.15505330234521</v>
      </c>
      <c r="H68" s="91">
        <v>471.44381662793154</v>
      </c>
      <c r="I68" s="91">
        <v>488.58722814167453</v>
      </c>
      <c r="J68" s="91">
        <v>480.01552238480303</v>
      </c>
      <c r="K68" s="91">
        <v>514.3023454122889</v>
      </c>
      <c r="L68" s="91">
        <v>411.44187632983119</v>
      </c>
      <c r="M68" s="91">
        <v>462.87211087106004</v>
      </c>
      <c r="N68" s="91">
        <v>471.44381662793154</v>
      </c>
      <c r="O68" s="92">
        <v>5280.1707462328332</v>
      </c>
    </row>
    <row r="69" spans="1:15" ht="13" x14ac:dyDescent="0.3">
      <c r="A69" s="214"/>
      <c r="B69" s="93" t="s">
        <v>25</v>
      </c>
      <c r="C69" s="230">
        <v>-134.80758659747022</v>
      </c>
      <c r="D69" s="231">
        <v>-139.89466533699743</v>
      </c>
      <c r="E69" s="231">
        <v>-117.00281100912514</v>
      </c>
      <c r="F69" s="231">
        <v>-83.936799202198415</v>
      </c>
      <c r="G69" s="231">
        <v>-111.91573226959798</v>
      </c>
      <c r="H69" s="231">
        <v>-139.89466533699743</v>
      </c>
      <c r="I69" s="231">
        <v>-144.98174407652454</v>
      </c>
      <c r="J69" s="231">
        <v>-142.43820470676098</v>
      </c>
      <c r="K69" s="231">
        <v>-152.61236218581541</v>
      </c>
      <c r="L69" s="231">
        <v>-122.08988974865224</v>
      </c>
      <c r="M69" s="231">
        <v>-137.35112596723388</v>
      </c>
      <c r="N69" s="231">
        <v>-139.89466533699743</v>
      </c>
      <c r="O69" s="232">
        <v>-1566.8202517743712</v>
      </c>
    </row>
    <row r="70" spans="1:15" ht="13" x14ac:dyDescent="0.3">
      <c r="A70" s="214"/>
      <c r="B70" s="93" t="s">
        <v>26</v>
      </c>
      <c r="C70" s="230">
        <v>-11.069847471115102</v>
      </c>
      <c r="D70" s="231">
        <v>-11.487577564364727</v>
      </c>
      <c r="E70" s="231">
        <v>-9.6077921447414081</v>
      </c>
      <c r="F70" s="231">
        <v>-6.892546538618836</v>
      </c>
      <c r="G70" s="231">
        <v>-9.1900620514917808</v>
      </c>
      <c r="H70" s="231">
        <v>-11.487577564364727</v>
      </c>
      <c r="I70" s="231">
        <v>-11.905307657614353</v>
      </c>
      <c r="J70" s="231">
        <v>-11.696442610989539</v>
      </c>
      <c r="K70" s="231">
        <v>-12.531902797488792</v>
      </c>
      <c r="L70" s="231">
        <v>-10.025522237991034</v>
      </c>
      <c r="M70" s="231">
        <v>-11.278712517739914</v>
      </c>
      <c r="N70" s="231">
        <v>-11.487577564364727</v>
      </c>
      <c r="O70" s="232">
        <v>-128.66086872088493</v>
      </c>
    </row>
    <row r="71" spans="1:15" ht="13" x14ac:dyDescent="0.3">
      <c r="A71" s="214"/>
      <c r="B71" s="93" t="s">
        <v>27</v>
      </c>
      <c r="C71" s="230">
        <v>-145.87743406858533</v>
      </c>
      <c r="D71" s="231">
        <v>-151.38224290136216</v>
      </c>
      <c r="E71" s="231">
        <v>-126.61060315386655</v>
      </c>
      <c r="F71" s="231">
        <v>-90.829345740817246</v>
      </c>
      <c r="G71" s="231">
        <v>-121.10579432108976</v>
      </c>
      <c r="H71" s="231">
        <v>-151.38224290136216</v>
      </c>
      <c r="I71" s="231">
        <v>-156.88705173413888</v>
      </c>
      <c r="J71" s="231">
        <v>-154.13464731775053</v>
      </c>
      <c r="K71" s="231">
        <v>-165.1442649833042</v>
      </c>
      <c r="L71" s="231">
        <v>-132.11541198664327</v>
      </c>
      <c r="M71" s="231">
        <v>-148.62983848497379</v>
      </c>
      <c r="N71" s="231">
        <v>-151.38224290136216</v>
      </c>
      <c r="O71" s="232">
        <v>-1695.4811204952562</v>
      </c>
    </row>
    <row r="72" spans="1:15" x14ac:dyDescent="0.25">
      <c r="A72" s="214"/>
      <c r="B72" s="93" t="s">
        <v>49</v>
      </c>
      <c r="C72" s="94">
        <v>589.10799171165877</v>
      </c>
      <c r="D72" s="82">
        <v>611.33848196492897</v>
      </c>
      <c r="E72" s="82">
        <v>511.30127582521334</v>
      </c>
      <c r="F72" s="82">
        <v>366.80308917895735</v>
      </c>
      <c r="G72" s="82">
        <v>489.07078557194319</v>
      </c>
      <c r="H72" s="82">
        <v>611.33848196492897</v>
      </c>
      <c r="I72" s="82">
        <v>633.56897221819906</v>
      </c>
      <c r="J72" s="82">
        <v>622.45372709156402</v>
      </c>
      <c r="K72" s="82">
        <v>666.91470759810431</v>
      </c>
      <c r="L72" s="82">
        <v>533.53176607848343</v>
      </c>
      <c r="M72" s="82">
        <v>600.22323683829393</v>
      </c>
      <c r="N72" s="82">
        <v>611.33848196492897</v>
      </c>
      <c r="O72" s="95">
        <v>6846.9909980072043</v>
      </c>
    </row>
    <row r="73" spans="1:15" x14ac:dyDescent="0.25">
      <c r="A73" s="214"/>
      <c r="B73" s="93" t="s">
        <v>87</v>
      </c>
      <c r="C73" s="94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95">
        <v>0</v>
      </c>
    </row>
    <row r="74" spans="1:15" x14ac:dyDescent="0.25">
      <c r="A74" s="214"/>
      <c r="B74" s="93" t="s">
        <v>89</v>
      </c>
      <c r="C74" s="94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95">
        <v>0</v>
      </c>
    </row>
    <row r="75" spans="1:15" x14ac:dyDescent="0.25">
      <c r="A75" s="83" t="s">
        <v>54</v>
      </c>
      <c r="B75" s="83" t="s">
        <v>70</v>
      </c>
      <c r="C75" s="90">
        <v>968.60275052647751</v>
      </c>
      <c r="D75" s="91">
        <v>925.74422174212009</v>
      </c>
      <c r="E75" s="91">
        <v>822.88375265966238</v>
      </c>
      <c r="F75" s="91">
        <v>780.02522387530496</v>
      </c>
      <c r="G75" s="91">
        <v>1071.4632196089353</v>
      </c>
      <c r="H75" s="91">
        <v>1431.4748613975376</v>
      </c>
      <c r="I75" s="91">
        <v>1371.4729210994371</v>
      </c>
      <c r="J75" s="91">
        <v>1551.4787419937384</v>
      </c>
      <c r="K75" s="91">
        <v>1345.7578038288227</v>
      </c>
      <c r="L75" s="91">
        <v>1011.4612793108349</v>
      </c>
      <c r="M75" s="91">
        <v>874.31398720089123</v>
      </c>
      <c r="N75" s="91">
        <v>848.59886993027681</v>
      </c>
      <c r="O75" s="92">
        <v>13003.277633174039</v>
      </c>
    </row>
    <row r="76" spans="1:15" x14ac:dyDescent="0.25">
      <c r="A76" s="214"/>
      <c r="B76" s="93" t="s">
        <v>25</v>
      </c>
      <c r="C76" s="94">
        <v>-287.41994878328558</v>
      </c>
      <c r="D76" s="82">
        <v>-274.70225193446777</v>
      </c>
      <c r="E76" s="82">
        <v>-244.17977949730448</v>
      </c>
      <c r="F76" s="82">
        <v>-231.46208264848656</v>
      </c>
      <c r="G76" s="82">
        <v>-317.94242122044875</v>
      </c>
      <c r="H76" s="82">
        <v>-424.77107475051957</v>
      </c>
      <c r="I76" s="82">
        <v>-406.96629916217444</v>
      </c>
      <c r="J76" s="82">
        <v>-460.38062592720962</v>
      </c>
      <c r="K76" s="82">
        <v>-399.3356810528835</v>
      </c>
      <c r="L76" s="82">
        <v>-300.13764563210361</v>
      </c>
      <c r="M76" s="82">
        <v>-259.44101571588612</v>
      </c>
      <c r="N76" s="82">
        <v>-251.81039760659542</v>
      </c>
      <c r="O76" s="95">
        <v>-3858.5492239313658</v>
      </c>
    </row>
    <row r="77" spans="1:15" x14ac:dyDescent="0.25">
      <c r="A77" s="214"/>
      <c r="B77" s="93" t="s">
        <v>26</v>
      </c>
      <c r="C77" s="94">
        <v>-23.60175026860389</v>
      </c>
      <c r="D77" s="82">
        <v>-22.557425035479827</v>
      </c>
      <c r="E77" s="82">
        <v>-20.051044475982067</v>
      </c>
      <c r="F77" s="82">
        <v>-19.006719242858001</v>
      </c>
      <c r="G77" s="82">
        <v>-26.10813082810165</v>
      </c>
      <c r="H77" s="82">
        <v>-34.880462786343806</v>
      </c>
      <c r="I77" s="82">
        <v>-33.418407459970112</v>
      </c>
      <c r="J77" s="82">
        <v>-37.804573439091186</v>
      </c>
      <c r="K77" s="82">
        <v>-32.791812320095673</v>
      </c>
      <c r="L77" s="82">
        <v>-24.646075501727957</v>
      </c>
      <c r="M77" s="82">
        <v>-21.304234755730945</v>
      </c>
      <c r="N77" s="82">
        <v>-20.67763961585651</v>
      </c>
      <c r="O77" s="95">
        <v>-316.84827572984165</v>
      </c>
    </row>
    <row r="78" spans="1:15" x14ac:dyDescent="0.25">
      <c r="A78" s="214"/>
      <c r="B78" s="93" t="s">
        <v>27</v>
      </c>
      <c r="C78" s="94">
        <v>-311.02169905188947</v>
      </c>
      <c r="D78" s="82">
        <v>-297.25967696994758</v>
      </c>
      <c r="E78" s="82">
        <v>-264.23082397328653</v>
      </c>
      <c r="F78" s="82">
        <v>-250.46880189134455</v>
      </c>
      <c r="G78" s="82">
        <v>-344.0505520485504</v>
      </c>
      <c r="H78" s="82">
        <v>-459.65153753686337</v>
      </c>
      <c r="I78" s="82">
        <v>-440.38470662214456</v>
      </c>
      <c r="J78" s="82">
        <v>-498.18519936630082</v>
      </c>
      <c r="K78" s="82">
        <v>-432.12749337297919</v>
      </c>
      <c r="L78" s="82">
        <v>-324.78372113383159</v>
      </c>
      <c r="M78" s="82">
        <v>-280.74525047161706</v>
      </c>
      <c r="N78" s="82">
        <v>-272.48803722245191</v>
      </c>
      <c r="O78" s="95">
        <v>-4175.3974996612069</v>
      </c>
    </row>
    <row r="79" spans="1:15" x14ac:dyDescent="0.25">
      <c r="A79" s="214"/>
      <c r="B79" s="93" t="s">
        <v>49</v>
      </c>
      <c r="C79" s="94">
        <v>1256.0226993097631</v>
      </c>
      <c r="D79" s="82">
        <v>1200.4464736765879</v>
      </c>
      <c r="E79" s="82">
        <v>1067.0635321569669</v>
      </c>
      <c r="F79" s="82">
        <v>1011.4873065237915</v>
      </c>
      <c r="G79" s="82">
        <v>1389.4056408293841</v>
      </c>
      <c r="H79" s="82">
        <v>1856.2459361480571</v>
      </c>
      <c r="I79" s="82">
        <v>1778.4392202616116</v>
      </c>
      <c r="J79" s="82">
        <v>2011.859367920948</v>
      </c>
      <c r="K79" s="82">
        <v>1745.0934848817062</v>
      </c>
      <c r="L79" s="82">
        <v>1311.5989249429385</v>
      </c>
      <c r="M79" s="82">
        <v>1133.7550029167774</v>
      </c>
      <c r="N79" s="82">
        <v>1100.4092675368722</v>
      </c>
      <c r="O79" s="95">
        <v>16861.826857105407</v>
      </c>
    </row>
    <row r="80" spans="1:15" x14ac:dyDescent="0.25">
      <c r="A80" s="214"/>
      <c r="B80" s="93" t="s">
        <v>87</v>
      </c>
      <c r="C80" s="94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95">
        <v>0</v>
      </c>
    </row>
    <row r="81" spans="1:15" x14ac:dyDescent="0.25">
      <c r="A81" s="214"/>
      <c r="B81" s="93" t="s">
        <v>89</v>
      </c>
      <c r="C81" s="94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95">
        <v>0</v>
      </c>
    </row>
    <row r="82" spans="1:15" x14ac:dyDescent="0.25">
      <c r="A82" s="83" t="s">
        <v>55</v>
      </c>
      <c r="B82" s="83" t="s">
        <v>70</v>
      </c>
      <c r="C82" s="90">
        <v>60.001940298100379</v>
      </c>
      <c r="D82" s="91">
        <v>85.717057568714822</v>
      </c>
      <c r="E82" s="91">
        <v>68.57364605497186</v>
      </c>
      <c r="F82" s="91">
        <v>68.57364605497186</v>
      </c>
      <c r="G82" s="91">
        <v>85.717057568714822</v>
      </c>
      <c r="H82" s="91">
        <v>102.8604690824578</v>
      </c>
      <c r="I82" s="91">
        <v>120.00388059620076</v>
      </c>
      <c r="J82" s="91">
        <v>111.43217483932928</v>
      </c>
      <c r="K82" s="91">
        <v>111.43217483932928</v>
      </c>
      <c r="L82" s="91">
        <v>94.288763325586302</v>
      </c>
      <c r="M82" s="91">
        <v>60.001940298100379</v>
      </c>
      <c r="N82" s="91">
        <v>68.57364605497186</v>
      </c>
      <c r="O82" s="92">
        <v>1037.1763965814494</v>
      </c>
    </row>
    <row r="83" spans="1:15" x14ac:dyDescent="0.25">
      <c r="A83" s="214"/>
      <c r="B83" s="93" t="s">
        <v>25</v>
      </c>
      <c r="C83" s="94">
        <v>-17.804775588345123</v>
      </c>
      <c r="D83" s="82">
        <v>-25.435393697635902</v>
      </c>
      <c r="E83" s="82">
        <v>-20.348314958108716</v>
      </c>
      <c r="F83" s="82">
        <v>-20.348314958108716</v>
      </c>
      <c r="G83" s="82">
        <v>-25.435393697635902</v>
      </c>
      <c r="H83" s="82">
        <v>-30.52247243716306</v>
      </c>
      <c r="I83" s="82">
        <v>-35.609551176690246</v>
      </c>
      <c r="J83" s="82">
        <v>-33.066011806926653</v>
      </c>
      <c r="K83" s="82">
        <v>-33.066011806926653</v>
      </c>
      <c r="L83" s="82">
        <v>-27.978933067399495</v>
      </c>
      <c r="M83" s="82">
        <v>-17.804775588345123</v>
      </c>
      <c r="N83" s="82">
        <v>-20.348314958108716</v>
      </c>
      <c r="O83" s="95">
        <v>-307.76826374139432</v>
      </c>
    </row>
    <row r="84" spans="1:15" x14ac:dyDescent="0.25">
      <c r="A84" s="214"/>
      <c r="B84" s="93" t="s">
        <v>26</v>
      </c>
      <c r="C84" s="94">
        <v>-1.4620553263736924</v>
      </c>
      <c r="D84" s="82">
        <v>-2.088650466248132</v>
      </c>
      <c r="E84" s="82">
        <v>-1.6709203729985056</v>
      </c>
      <c r="F84" s="82">
        <v>-1.6709203729985056</v>
      </c>
      <c r="G84" s="82">
        <v>-2.088650466248132</v>
      </c>
      <c r="H84" s="82">
        <v>-2.5063805594977584</v>
      </c>
      <c r="I84" s="82">
        <v>-2.9241106527473848</v>
      </c>
      <c r="J84" s="82">
        <v>-2.7152456061225716</v>
      </c>
      <c r="K84" s="82">
        <v>-2.7152456061225716</v>
      </c>
      <c r="L84" s="82">
        <v>-2.2975155128729452</v>
      </c>
      <c r="M84" s="82">
        <v>-1.4620553263736924</v>
      </c>
      <c r="N84" s="82">
        <v>-1.6709203729985056</v>
      </c>
      <c r="O84" s="95">
        <v>-25.272670641602399</v>
      </c>
    </row>
    <row r="85" spans="1:15" x14ac:dyDescent="0.25">
      <c r="A85" s="214"/>
      <c r="B85" s="93" t="s">
        <v>27</v>
      </c>
      <c r="C85" s="94">
        <v>-19.266830914718817</v>
      </c>
      <c r="D85" s="82">
        <v>-27.524044163884035</v>
      </c>
      <c r="E85" s="82">
        <v>-22.019235331107222</v>
      </c>
      <c r="F85" s="82">
        <v>-22.019235331107222</v>
      </c>
      <c r="G85" s="82">
        <v>-27.524044163884035</v>
      </c>
      <c r="H85" s="82">
        <v>-33.028852996660817</v>
      </c>
      <c r="I85" s="82">
        <v>-38.533661829437634</v>
      </c>
      <c r="J85" s="82">
        <v>-35.781257413049225</v>
      </c>
      <c r="K85" s="82">
        <v>-35.781257413049225</v>
      </c>
      <c r="L85" s="82">
        <v>-30.27644858027244</v>
      </c>
      <c r="M85" s="82">
        <v>-19.266830914718817</v>
      </c>
      <c r="N85" s="82">
        <v>-22.019235331107222</v>
      </c>
      <c r="O85" s="95">
        <v>-333.04093438299668</v>
      </c>
    </row>
    <row r="86" spans="1:15" x14ac:dyDescent="0.25">
      <c r="A86" s="214"/>
      <c r="B86" s="93" t="s">
        <v>49</v>
      </c>
      <c r="C86" s="94">
        <v>77.806715886445502</v>
      </c>
      <c r="D86" s="82">
        <v>111.15245126635072</v>
      </c>
      <c r="E86" s="82">
        <v>88.921961013080576</v>
      </c>
      <c r="F86" s="82">
        <v>88.921961013080576</v>
      </c>
      <c r="G86" s="82">
        <v>111.15245126635072</v>
      </c>
      <c r="H86" s="82">
        <v>133.38294151962086</v>
      </c>
      <c r="I86" s="82">
        <v>155.613431772891</v>
      </c>
      <c r="J86" s="82">
        <v>144.49818664625593</v>
      </c>
      <c r="K86" s="82">
        <v>144.49818664625593</v>
      </c>
      <c r="L86" s="82">
        <v>122.2676963929858</v>
      </c>
      <c r="M86" s="82">
        <v>77.806715886445502</v>
      </c>
      <c r="N86" s="82">
        <v>88.921961013080576</v>
      </c>
      <c r="O86" s="95">
        <v>1344.9446603228437</v>
      </c>
    </row>
    <row r="87" spans="1:15" x14ac:dyDescent="0.25">
      <c r="A87" s="214"/>
      <c r="B87" s="93" t="s">
        <v>87</v>
      </c>
      <c r="C87" s="94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95">
        <v>0</v>
      </c>
    </row>
    <row r="88" spans="1:15" x14ac:dyDescent="0.25">
      <c r="A88" s="214"/>
      <c r="B88" s="93" t="s">
        <v>89</v>
      </c>
      <c r="C88" s="94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95">
        <v>0</v>
      </c>
    </row>
    <row r="89" spans="1:15" x14ac:dyDescent="0.25">
      <c r="A89" s="83" t="s">
        <v>56</v>
      </c>
      <c r="B89" s="83" t="s">
        <v>70</v>
      </c>
      <c r="C89" s="90">
        <v>180.00582089430114</v>
      </c>
      <c r="D89" s="91">
        <v>180.00582089430114</v>
      </c>
      <c r="E89" s="91">
        <v>162.86240938055818</v>
      </c>
      <c r="F89" s="91">
        <v>180.00582089430114</v>
      </c>
      <c r="G89" s="91">
        <v>240.00776119240152</v>
      </c>
      <c r="H89" s="91">
        <v>317.15311300424486</v>
      </c>
      <c r="I89" s="91">
        <v>325.72481876111635</v>
      </c>
      <c r="J89" s="91">
        <v>342.86823027485929</v>
      </c>
      <c r="K89" s="91">
        <v>317.15311300424486</v>
      </c>
      <c r="L89" s="91">
        <v>257.15117270614445</v>
      </c>
      <c r="M89" s="91">
        <v>162.86240938055818</v>
      </c>
      <c r="N89" s="91">
        <v>171.43411513742964</v>
      </c>
      <c r="O89" s="92">
        <v>2837.2346055244607</v>
      </c>
    </row>
    <row r="90" spans="1:15" x14ac:dyDescent="0.25">
      <c r="A90" s="214"/>
      <c r="B90" s="93" t="s">
        <v>25</v>
      </c>
      <c r="C90" s="94">
        <v>-53.414326765035383</v>
      </c>
      <c r="D90" s="82">
        <v>-53.414326765035383</v>
      </c>
      <c r="E90" s="82">
        <v>-48.327248025508197</v>
      </c>
      <c r="F90" s="82">
        <v>-53.414326765035383</v>
      </c>
      <c r="G90" s="82">
        <v>-71.219102353380492</v>
      </c>
      <c r="H90" s="82">
        <v>-94.110956681252787</v>
      </c>
      <c r="I90" s="82">
        <v>-96.654496051016395</v>
      </c>
      <c r="J90" s="82">
        <v>-101.74157479054361</v>
      </c>
      <c r="K90" s="82">
        <v>-94.110956681252787</v>
      </c>
      <c r="L90" s="82">
        <v>-76.306181092907707</v>
      </c>
      <c r="M90" s="82">
        <v>-48.327248025508197</v>
      </c>
      <c r="N90" s="82">
        <v>-50.870787395271805</v>
      </c>
      <c r="O90" s="95">
        <v>-841.9115313917481</v>
      </c>
    </row>
    <row r="91" spans="1:15" x14ac:dyDescent="0.25">
      <c r="A91" s="214"/>
      <c r="B91" s="93" t="s">
        <v>26</v>
      </c>
      <c r="C91" s="94">
        <v>-4.3861659791210776</v>
      </c>
      <c r="D91" s="82">
        <v>-4.3861659791210776</v>
      </c>
      <c r="E91" s="82">
        <v>-3.9684358858714512</v>
      </c>
      <c r="F91" s="82">
        <v>-4.3861659791210776</v>
      </c>
      <c r="G91" s="82">
        <v>-5.8482213054947696</v>
      </c>
      <c r="H91" s="82">
        <v>-7.7280067251180879</v>
      </c>
      <c r="I91" s="82">
        <v>-7.9368717717429025</v>
      </c>
      <c r="J91" s="82">
        <v>-8.354601864992528</v>
      </c>
      <c r="K91" s="82">
        <v>-7.7280067251180879</v>
      </c>
      <c r="L91" s="82">
        <v>-6.265951398744396</v>
      </c>
      <c r="M91" s="82">
        <v>-3.9684358858714512</v>
      </c>
      <c r="N91" s="82">
        <v>-4.177300932496264</v>
      </c>
      <c r="O91" s="95">
        <v>-69.134330432813186</v>
      </c>
    </row>
    <row r="92" spans="1:15" x14ac:dyDescent="0.25">
      <c r="A92" s="214"/>
      <c r="B92" s="93" t="s">
        <v>27</v>
      </c>
      <c r="C92" s="94">
        <v>-57.800492744156458</v>
      </c>
      <c r="D92" s="82">
        <v>-57.800492744156458</v>
      </c>
      <c r="E92" s="82">
        <v>-52.295683911379648</v>
      </c>
      <c r="F92" s="82">
        <v>-57.800492744156458</v>
      </c>
      <c r="G92" s="82">
        <v>-77.067323658875267</v>
      </c>
      <c r="H92" s="82">
        <v>-101.83896340637088</v>
      </c>
      <c r="I92" s="82">
        <v>-104.5913678227593</v>
      </c>
      <c r="J92" s="82">
        <v>-110.09617665553614</v>
      </c>
      <c r="K92" s="82">
        <v>-101.83896340637088</v>
      </c>
      <c r="L92" s="82">
        <v>-82.572132491652098</v>
      </c>
      <c r="M92" s="82">
        <v>-52.295683911379648</v>
      </c>
      <c r="N92" s="82">
        <v>-55.04808832776807</v>
      </c>
      <c r="O92" s="95">
        <v>-911.04586182456137</v>
      </c>
    </row>
    <row r="93" spans="1:15" x14ac:dyDescent="0.25">
      <c r="A93" s="214"/>
      <c r="B93" s="93" t="s">
        <v>49</v>
      </c>
      <c r="C93" s="94">
        <v>233.42014765933652</v>
      </c>
      <c r="D93" s="82">
        <v>233.42014765933652</v>
      </c>
      <c r="E93" s="82">
        <v>211.18965740606637</v>
      </c>
      <c r="F93" s="82">
        <v>233.42014765933652</v>
      </c>
      <c r="G93" s="82">
        <v>311.22686354578201</v>
      </c>
      <c r="H93" s="82">
        <v>411.26406968549765</v>
      </c>
      <c r="I93" s="82">
        <v>422.37931481213275</v>
      </c>
      <c r="J93" s="82">
        <v>444.6098050654029</v>
      </c>
      <c r="K93" s="82">
        <v>411.26406968549765</v>
      </c>
      <c r="L93" s="82">
        <v>333.45735379905216</v>
      </c>
      <c r="M93" s="82">
        <v>211.18965740606637</v>
      </c>
      <c r="N93" s="82">
        <v>222.30490253270145</v>
      </c>
      <c r="O93" s="95">
        <v>3679.1461369162089</v>
      </c>
    </row>
    <row r="94" spans="1:15" x14ac:dyDescent="0.25">
      <c r="A94" s="214"/>
      <c r="B94" s="93" t="s">
        <v>87</v>
      </c>
      <c r="C94" s="94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95">
        <v>0</v>
      </c>
    </row>
    <row r="95" spans="1:15" x14ac:dyDescent="0.25">
      <c r="A95" s="214"/>
      <c r="B95" s="93" t="s">
        <v>89</v>
      </c>
      <c r="C95" s="94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95">
        <v>0</v>
      </c>
    </row>
    <row r="96" spans="1:15" x14ac:dyDescent="0.25">
      <c r="A96" s="83" t="s">
        <v>57</v>
      </c>
      <c r="B96" s="83" t="s">
        <v>70</v>
      </c>
      <c r="C96" s="90">
        <v>308.58140724737336</v>
      </c>
      <c r="D96" s="91">
        <v>274.29458421988744</v>
      </c>
      <c r="E96" s="91">
        <v>274.29458421988744</v>
      </c>
      <c r="F96" s="91">
        <v>265.72287846301595</v>
      </c>
      <c r="G96" s="91">
        <v>325.72481876111635</v>
      </c>
      <c r="H96" s="91">
        <v>411.44187632983119</v>
      </c>
      <c r="I96" s="91">
        <v>420.01358208670263</v>
      </c>
      <c r="J96" s="91">
        <v>428.58528784357412</v>
      </c>
      <c r="K96" s="91">
        <v>402.87017057295969</v>
      </c>
      <c r="L96" s="91">
        <v>308.58140724737336</v>
      </c>
      <c r="M96" s="91">
        <v>222.86434967865856</v>
      </c>
      <c r="N96" s="91">
        <v>265.72287846301595</v>
      </c>
      <c r="O96" s="92">
        <v>3908.6978251333953</v>
      </c>
    </row>
    <row r="97" spans="1:15" x14ac:dyDescent="0.25">
      <c r="A97" s="214"/>
      <c r="B97" s="93" t="s">
        <v>25</v>
      </c>
      <c r="C97" s="94">
        <v>-91.567417311489237</v>
      </c>
      <c r="D97" s="82">
        <v>-81.393259832434865</v>
      </c>
      <c r="E97" s="82">
        <v>-81.393259832434865</v>
      </c>
      <c r="F97" s="82">
        <v>-78.849720462671314</v>
      </c>
      <c r="G97" s="82">
        <v>-96.654496051016395</v>
      </c>
      <c r="H97" s="82">
        <v>-122.08988974865224</v>
      </c>
      <c r="I97" s="82">
        <v>-124.63342911841585</v>
      </c>
      <c r="J97" s="82">
        <v>-127.17696848817951</v>
      </c>
      <c r="K97" s="82">
        <v>-119.54635037888869</v>
      </c>
      <c r="L97" s="82">
        <v>-91.567417311489237</v>
      </c>
      <c r="M97" s="82">
        <v>-66.132023613853306</v>
      </c>
      <c r="N97" s="82">
        <v>-78.849720462671314</v>
      </c>
      <c r="O97" s="95">
        <v>-1159.8539526121967</v>
      </c>
    </row>
    <row r="98" spans="1:15" x14ac:dyDescent="0.25">
      <c r="A98" s="214"/>
      <c r="B98" s="93" t="s">
        <v>26</v>
      </c>
      <c r="C98" s="94">
        <v>-7.5191416784932752</v>
      </c>
      <c r="D98" s="82">
        <v>-6.6836814919940224</v>
      </c>
      <c r="E98" s="82">
        <v>-6.6836814919940224</v>
      </c>
      <c r="F98" s="82">
        <v>-6.4748164453692088</v>
      </c>
      <c r="G98" s="82">
        <v>-7.9368717717429025</v>
      </c>
      <c r="H98" s="82">
        <v>-10.025522237991034</v>
      </c>
      <c r="I98" s="82">
        <v>-10.234387284615847</v>
      </c>
      <c r="J98" s="82">
        <v>-10.443252331240659</v>
      </c>
      <c r="K98" s="82">
        <v>-9.8166571913662199</v>
      </c>
      <c r="L98" s="82">
        <v>-7.5191416784932752</v>
      </c>
      <c r="M98" s="82">
        <v>-5.4304912122451432</v>
      </c>
      <c r="N98" s="82">
        <v>-6.4748164453692088</v>
      </c>
      <c r="O98" s="95">
        <v>-95.242461260914823</v>
      </c>
    </row>
    <row r="99" spans="1:15" x14ac:dyDescent="0.25">
      <c r="A99" s="214"/>
      <c r="B99" s="93" t="s">
        <v>27</v>
      </c>
      <c r="C99" s="94">
        <v>-99.086558989982507</v>
      </c>
      <c r="D99" s="82">
        <v>-88.076941324428887</v>
      </c>
      <c r="E99" s="82">
        <v>-88.076941324428887</v>
      </c>
      <c r="F99" s="82">
        <v>-85.324536908040528</v>
      </c>
      <c r="G99" s="82">
        <v>-104.5913678227593</v>
      </c>
      <c r="H99" s="82">
        <v>-132.11541198664327</v>
      </c>
      <c r="I99" s="82">
        <v>-134.8678164030317</v>
      </c>
      <c r="J99" s="82">
        <v>-137.62022081942018</v>
      </c>
      <c r="K99" s="82">
        <v>-129.36300757025492</v>
      </c>
      <c r="L99" s="82">
        <v>-99.086558989982507</v>
      </c>
      <c r="M99" s="82">
        <v>-71.56251482609845</v>
      </c>
      <c r="N99" s="82">
        <v>-85.324536908040528</v>
      </c>
      <c r="O99" s="95">
        <v>-1255.0964138731119</v>
      </c>
    </row>
    <row r="100" spans="1:15" x14ac:dyDescent="0.25">
      <c r="A100" s="214"/>
      <c r="B100" s="93" t="s">
        <v>49</v>
      </c>
      <c r="C100" s="94">
        <v>400.1488245588626</v>
      </c>
      <c r="D100" s="82">
        <v>355.6878440523223</v>
      </c>
      <c r="E100" s="82">
        <v>355.6878440523223</v>
      </c>
      <c r="F100" s="82">
        <v>344.57259892568726</v>
      </c>
      <c r="G100" s="82">
        <v>422.37931481213275</v>
      </c>
      <c r="H100" s="82">
        <v>533.53176607848343</v>
      </c>
      <c r="I100" s="82">
        <v>544.64701120511847</v>
      </c>
      <c r="J100" s="82">
        <v>555.76225633175363</v>
      </c>
      <c r="K100" s="82">
        <v>522.41652095184838</v>
      </c>
      <c r="L100" s="82">
        <v>400.1488245588626</v>
      </c>
      <c r="M100" s="82">
        <v>288.99637329251186</v>
      </c>
      <c r="N100" s="82">
        <v>344.57259892568726</v>
      </c>
      <c r="O100" s="95">
        <v>5068.5517777455925</v>
      </c>
    </row>
    <row r="101" spans="1:15" x14ac:dyDescent="0.25">
      <c r="A101" s="214"/>
      <c r="B101" s="93" t="s">
        <v>87</v>
      </c>
      <c r="C101" s="94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95">
        <v>0</v>
      </c>
    </row>
    <row r="102" spans="1:15" x14ac:dyDescent="0.25">
      <c r="A102" s="214"/>
      <c r="B102" s="93" t="s">
        <v>89</v>
      </c>
      <c r="C102" s="94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95">
        <v>0</v>
      </c>
    </row>
    <row r="103" spans="1:15" x14ac:dyDescent="0.25">
      <c r="A103" s="83" t="s">
        <v>81</v>
      </c>
      <c r="B103" s="83" t="s">
        <v>70</v>
      </c>
      <c r="C103" s="90">
        <v>1174.323688691393</v>
      </c>
      <c r="D103" s="91">
        <v>1131.4651599070357</v>
      </c>
      <c r="E103" s="91">
        <v>1268.6124520169794</v>
      </c>
      <c r="F103" s="91">
        <v>788.5969296321764</v>
      </c>
      <c r="G103" s="91">
        <v>891.45739871463422</v>
      </c>
      <c r="H103" s="91">
        <v>1337.1860980719512</v>
      </c>
      <c r="I103" s="91">
        <v>1328.6143923150798</v>
      </c>
      <c r="J103" s="91">
        <v>1362.9012153425658</v>
      </c>
      <c r="K103" s="91">
        <v>1234.3256289894935</v>
      </c>
      <c r="L103" s="91">
        <v>1002.8895735539635</v>
      </c>
      <c r="M103" s="91">
        <v>1148.6085714207786</v>
      </c>
      <c r="N103" s="91">
        <v>1242.897334746365</v>
      </c>
      <c r="O103" s="92">
        <v>13911.878443402415</v>
      </c>
    </row>
    <row r="104" spans="1:15" x14ac:dyDescent="0.25">
      <c r="A104" s="214"/>
      <c r="B104" s="93" t="s">
        <v>25</v>
      </c>
      <c r="C104" s="94">
        <v>-348.46489365761181</v>
      </c>
      <c r="D104" s="82">
        <v>-335.74719680879366</v>
      </c>
      <c r="E104" s="82">
        <v>-376.44382672501115</v>
      </c>
      <c r="F104" s="82">
        <v>-234.00562201825028</v>
      </c>
      <c r="G104" s="82">
        <v>-264.52809445541322</v>
      </c>
      <c r="H104" s="82">
        <v>-396.79214168312001</v>
      </c>
      <c r="I104" s="82">
        <v>-394.24860231335629</v>
      </c>
      <c r="J104" s="82">
        <v>-404.42275979241072</v>
      </c>
      <c r="K104" s="82">
        <v>-366.26966924595695</v>
      </c>
      <c r="L104" s="82">
        <v>-297.59410626234001</v>
      </c>
      <c r="M104" s="82">
        <v>-340.8342755483211</v>
      </c>
      <c r="N104" s="82">
        <v>-368.81320861572044</v>
      </c>
      <c r="O104" s="95">
        <v>-4128.1643971263056</v>
      </c>
    </row>
    <row r="105" spans="1:15" x14ac:dyDescent="0.25">
      <c r="A105" s="214"/>
      <c r="B105" s="93" t="s">
        <v>26</v>
      </c>
      <c r="C105" s="94">
        <v>-28.614511387599407</v>
      </c>
      <c r="D105" s="82">
        <v>-27.570186154475344</v>
      </c>
      <c r="E105" s="82">
        <v>-30.912026900472352</v>
      </c>
      <c r="F105" s="82">
        <v>-19.215584289482816</v>
      </c>
      <c r="G105" s="82">
        <v>-21.721964848980573</v>
      </c>
      <c r="H105" s="82">
        <v>-32.582947273470865</v>
      </c>
      <c r="I105" s="82">
        <v>-32.374082226846049</v>
      </c>
      <c r="J105" s="82">
        <v>-33.209542413345297</v>
      </c>
      <c r="K105" s="82">
        <v>-30.076566713973101</v>
      </c>
      <c r="L105" s="82">
        <v>-24.437210455103148</v>
      </c>
      <c r="M105" s="82">
        <v>-27.987916247724971</v>
      </c>
      <c r="N105" s="82">
        <v>-30.285431760597916</v>
      </c>
      <c r="O105" s="95">
        <v>-338.98797067207181</v>
      </c>
    </row>
    <row r="106" spans="1:15" x14ac:dyDescent="0.25">
      <c r="A106" s="214"/>
      <c r="B106" s="93" t="s">
        <v>27</v>
      </c>
      <c r="C106" s="94">
        <v>-377.07940504521122</v>
      </c>
      <c r="D106" s="82">
        <v>-363.31738296326898</v>
      </c>
      <c r="E106" s="82">
        <v>-407.35585362548352</v>
      </c>
      <c r="F106" s="82">
        <v>-253.2212063077331</v>
      </c>
      <c r="G106" s="82">
        <v>-286.2500593043938</v>
      </c>
      <c r="H106" s="82">
        <v>-429.37508895659084</v>
      </c>
      <c r="I106" s="82">
        <v>-426.62268454020233</v>
      </c>
      <c r="J106" s="82">
        <v>-437.63230220575599</v>
      </c>
      <c r="K106" s="82">
        <v>-396.34623595993003</v>
      </c>
      <c r="L106" s="82">
        <v>-322.03131671744313</v>
      </c>
      <c r="M106" s="82">
        <v>-368.82219179604607</v>
      </c>
      <c r="N106" s="82">
        <v>-399.09864037631837</v>
      </c>
      <c r="O106" s="95">
        <v>-4467.1523677983769</v>
      </c>
    </row>
    <row r="107" spans="1:15" x14ac:dyDescent="0.25">
      <c r="A107" s="214"/>
      <c r="B107" s="93" t="s">
        <v>49</v>
      </c>
      <c r="C107" s="94">
        <v>1522.7885823490049</v>
      </c>
      <c r="D107" s="82">
        <v>1467.2123567158294</v>
      </c>
      <c r="E107" s="82">
        <v>1645.0562787419906</v>
      </c>
      <c r="F107" s="82">
        <v>1022.6025516504267</v>
      </c>
      <c r="G107" s="82">
        <v>1155.9854931700474</v>
      </c>
      <c r="H107" s="82">
        <v>1733.9782397550712</v>
      </c>
      <c r="I107" s="82">
        <v>1722.8629946284361</v>
      </c>
      <c r="J107" s="82">
        <v>1767.3239751349765</v>
      </c>
      <c r="K107" s="82">
        <v>1600.5952982354504</v>
      </c>
      <c r="L107" s="82">
        <v>1300.4836798163035</v>
      </c>
      <c r="M107" s="82">
        <v>1489.4428469690997</v>
      </c>
      <c r="N107" s="82">
        <v>1611.7105433620854</v>
      </c>
      <c r="O107" s="95">
        <v>18040.04284052872</v>
      </c>
    </row>
    <row r="108" spans="1:15" x14ac:dyDescent="0.25">
      <c r="A108" s="214"/>
      <c r="B108" s="93" t="s">
        <v>87</v>
      </c>
      <c r="C108" s="94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95">
        <v>0</v>
      </c>
    </row>
    <row r="109" spans="1:15" x14ac:dyDescent="0.25">
      <c r="A109" s="214"/>
      <c r="B109" s="93" t="s">
        <v>89</v>
      </c>
      <c r="C109" s="94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95">
        <v>0</v>
      </c>
    </row>
    <row r="110" spans="1:15" x14ac:dyDescent="0.25">
      <c r="A110" s="83" t="s">
        <v>83</v>
      </c>
      <c r="B110" s="83" t="s">
        <v>70</v>
      </c>
      <c r="C110" s="90">
        <v>377.15505330234521</v>
      </c>
      <c r="D110" s="91">
        <v>360.01164178860228</v>
      </c>
      <c r="E110" s="91">
        <v>317.15311300424486</v>
      </c>
      <c r="F110" s="91">
        <v>231.43605543553002</v>
      </c>
      <c r="G110" s="91">
        <v>360.01164178860228</v>
      </c>
      <c r="H110" s="91">
        <v>480.01552238480303</v>
      </c>
      <c r="I110" s="91">
        <v>462.87211087106004</v>
      </c>
      <c r="J110" s="91">
        <v>505.73063965541746</v>
      </c>
      <c r="K110" s="91">
        <v>462.87211087106004</v>
      </c>
      <c r="L110" s="91">
        <v>317.15311300424486</v>
      </c>
      <c r="M110" s="91">
        <v>325.72481876111635</v>
      </c>
      <c r="N110" s="91">
        <v>300.00970149050187</v>
      </c>
      <c r="O110" s="92">
        <v>4500.1455223575285</v>
      </c>
    </row>
    <row r="111" spans="1:15" x14ac:dyDescent="0.25">
      <c r="A111" s="214"/>
      <c r="B111" s="93" t="s">
        <v>25</v>
      </c>
      <c r="C111" s="94">
        <v>-111.91573226959798</v>
      </c>
      <c r="D111" s="82">
        <v>-106.82865353007077</v>
      </c>
      <c r="E111" s="82">
        <v>-94.110956681252787</v>
      </c>
      <c r="F111" s="82">
        <v>-68.675562983616942</v>
      </c>
      <c r="G111" s="82">
        <v>-106.82865353007077</v>
      </c>
      <c r="H111" s="82">
        <v>-142.43820470676098</v>
      </c>
      <c r="I111" s="82">
        <v>-137.35112596723388</v>
      </c>
      <c r="J111" s="82">
        <v>-150.06882281605181</v>
      </c>
      <c r="K111" s="82">
        <v>-137.35112596723388</v>
      </c>
      <c r="L111" s="82">
        <v>-94.110956681252787</v>
      </c>
      <c r="M111" s="82">
        <v>-96.654496051016395</v>
      </c>
      <c r="N111" s="82">
        <v>-89.02387794172563</v>
      </c>
      <c r="O111" s="95">
        <v>-1335.3581691258848</v>
      </c>
    </row>
    <row r="112" spans="1:15" x14ac:dyDescent="0.25">
      <c r="A112" s="214"/>
      <c r="B112" s="93" t="s">
        <v>26</v>
      </c>
      <c r="C112" s="94">
        <v>-9.1900620514917808</v>
      </c>
      <c r="D112" s="82">
        <v>-8.7723319582421553</v>
      </c>
      <c r="E112" s="82">
        <v>-7.7280067251180879</v>
      </c>
      <c r="F112" s="82">
        <v>-5.6393562588699568</v>
      </c>
      <c r="G112" s="82">
        <v>-8.7723319582421553</v>
      </c>
      <c r="H112" s="82">
        <v>-11.696442610989539</v>
      </c>
      <c r="I112" s="82">
        <v>-11.278712517739914</v>
      </c>
      <c r="J112" s="82">
        <v>-12.323037750863978</v>
      </c>
      <c r="K112" s="82">
        <v>-11.278712517739914</v>
      </c>
      <c r="L112" s="82">
        <v>-7.7280067251180879</v>
      </c>
      <c r="M112" s="82">
        <v>-7.9368717717429025</v>
      </c>
      <c r="N112" s="82">
        <v>-7.3102766318684624</v>
      </c>
      <c r="O112" s="95">
        <v>-109.65414947802694</v>
      </c>
    </row>
    <row r="113" spans="1:15" x14ac:dyDescent="0.25">
      <c r="A113" s="214"/>
      <c r="B113" s="93" t="s">
        <v>27</v>
      </c>
      <c r="C113" s="94">
        <v>-121.10579432108976</v>
      </c>
      <c r="D113" s="82">
        <v>-115.60098548831292</v>
      </c>
      <c r="E113" s="82">
        <v>-101.83896340637088</v>
      </c>
      <c r="F113" s="82">
        <v>-74.314919242486894</v>
      </c>
      <c r="G113" s="82">
        <v>-115.60098548831292</v>
      </c>
      <c r="H113" s="82">
        <v>-154.13464731775053</v>
      </c>
      <c r="I113" s="82">
        <v>-148.62983848497379</v>
      </c>
      <c r="J113" s="82">
        <v>-162.3918605669158</v>
      </c>
      <c r="K113" s="82">
        <v>-148.62983848497379</v>
      </c>
      <c r="L113" s="82">
        <v>-101.83896340637088</v>
      </c>
      <c r="M113" s="82">
        <v>-104.5913678227593</v>
      </c>
      <c r="N113" s="82">
        <v>-96.334154573594091</v>
      </c>
      <c r="O113" s="95">
        <v>-1445.0123186039114</v>
      </c>
    </row>
    <row r="114" spans="1:15" x14ac:dyDescent="0.25">
      <c r="A114" s="214"/>
      <c r="B114" s="93" t="s">
        <v>49</v>
      </c>
      <c r="C114" s="94">
        <v>489.07078557194319</v>
      </c>
      <c r="D114" s="82">
        <v>466.84029531867304</v>
      </c>
      <c r="E114" s="82">
        <v>411.26406968549765</v>
      </c>
      <c r="F114" s="82">
        <v>300.11161841914696</v>
      </c>
      <c r="G114" s="82">
        <v>466.84029531867304</v>
      </c>
      <c r="H114" s="82">
        <v>622.45372709156402</v>
      </c>
      <c r="I114" s="82">
        <v>600.22323683829393</v>
      </c>
      <c r="J114" s="82">
        <v>655.79946247146927</v>
      </c>
      <c r="K114" s="82">
        <v>600.22323683829393</v>
      </c>
      <c r="L114" s="82">
        <v>411.26406968549765</v>
      </c>
      <c r="M114" s="82">
        <v>422.37931481213275</v>
      </c>
      <c r="N114" s="82">
        <v>389.0335794322275</v>
      </c>
      <c r="O114" s="95">
        <v>5835.5036914834127</v>
      </c>
    </row>
    <row r="115" spans="1:15" x14ac:dyDescent="0.25">
      <c r="A115" s="214"/>
      <c r="B115" s="93" t="s">
        <v>87</v>
      </c>
      <c r="C115" s="94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95">
        <v>0</v>
      </c>
    </row>
    <row r="116" spans="1:15" x14ac:dyDescent="0.25">
      <c r="A116" s="214"/>
      <c r="B116" s="93" t="s">
        <v>89</v>
      </c>
      <c r="C116" s="94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95">
        <v>0</v>
      </c>
    </row>
    <row r="117" spans="1:15" x14ac:dyDescent="0.25">
      <c r="A117" s="83" t="s">
        <v>71</v>
      </c>
      <c r="B117" s="84"/>
      <c r="C117" s="90">
        <v>68582.21776072873</v>
      </c>
      <c r="D117" s="91">
        <v>67990.770063504606</v>
      </c>
      <c r="E117" s="91">
        <v>62076.293091263273</v>
      </c>
      <c r="F117" s="91">
        <v>55510.366481499717</v>
      </c>
      <c r="G117" s="91">
        <v>69936.547270314419</v>
      </c>
      <c r="H117" s="91">
        <v>89094.309636922175</v>
      </c>
      <c r="I117" s="91">
        <v>88134.278592152594</v>
      </c>
      <c r="J117" s="91">
        <v>94468.769146480598</v>
      </c>
      <c r="K117" s="91">
        <v>87165.675841626085</v>
      </c>
      <c r="L117" s="91">
        <v>68513.644114673763</v>
      </c>
      <c r="M117" s="91">
        <v>62076.293091263273</v>
      </c>
      <c r="N117" s="91">
        <v>62290.585735185065</v>
      </c>
      <c r="O117" s="92">
        <v>875839.75082561478</v>
      </c>
    </row>
    <row r="118" spans="1:15" ht="13" x14ac:dyDescent="0.3">
      <c r="A118" s="83" t="s">
        <v>28</v>
      </c>
      <c r="B118" s="84"/>
      <c r="C118" s="233">
        <v>-20350.858497478483</v>
      </c>
      <c r="D118" s="234">
        <v>-20175.354280964795</v>
      </c>
      <c r="E118" s="234">
        <v>-18420.312115827914</v>
      </c>
      <c r="F118" s="234">
        <v>-16471.960958588999</v>
      </c>
      <c r="G118" s="234">
        <v>-20752.737717901127</v>
      </c>
      <c r="H118" s="234">
        <v>-26437.548209322744</v>
      </c>
      <c r="I118" s="234">
        <v>-26152.671799909229</v>
      </c>
      <c r="J118" s="234">
        <v>-28032.347394164524</v>
      </c>
      <c r="K118" s="234">
        <v>-25865.251851125948</v>
      </c>
      <c r="L118" s="234">
        <v>-20330.510182520371</v>
      </c>
      <c r="M118" s="234">
        <v>-18420.31211582791</v>
      </c>
      <c r="N118" s="234">
        <v>-18483.900600072004</v>
      </c>
      <c r="O118" s="235">
        <v>-259893.76572370407</v>
      </c>
    </row>
    <row r="119" spans="1:15" ht="13" x14ac:dyDescent="0.3">
      <c r="A119" s="83" t="s">
        <v>29</v>
      </c>
      <c r="B119" s="84"/>
      <c r="C119" s="233">
        <v>-1671.1292380451305</v>
      </c>
      <c r="D119" s="234">
        <v>-1656.7175498280185</v>
      </c>
      <c r="E119" s="234">
        <v>-1512.6006676568973</v>
      </c>
      <c r="F119" s="234">
        <v>-1352.6100419422908</v>
      </c>
      <c r="G119" s="234">
        <v>-1704.1299154118508</v>
      </c>
      <c r="H119" s="234">
        <v>-2170.9432946183083</v>
      </c>
      <c r="I119" s="234">
        <v>-2147.55040939633</v>
      </c>
      <c r="J119" s="234">
        <v>-2301.9016788520662</v>
      </c>
      <c r="K119" s="234">
        <v>-2123.9486591277259</v>
      </c>
      <c r="L119" s="234">
        <v>-1669.4583176721321</v>
      </c>
      <c r="M119" s="234">
        <v>-1512.6006676568977</v>
      </c>
      <c r="N119" s="234">
        <v>-1517.8222938225178</v>
      </c>
      <c r="O119" s="235">
        <v>-21341.412734030167</v>
      </c>
    </row>
    <row r="120" spans="1:15" ht="13" x14ac:dyDescent="0.3">
      <c r="A120" s="83" t="s">
        <v>30</v>
      </c>
      <c r="B120" s="84"/>
      <c r="C120" s="233">
        <v>-22021.987735523613</v>
      </c>
      <c r="D120" s="234">
        <v>-21832.071830792818</v>
      </c>
      <c r="E120" s="234">
        <v>-19932.912783484815</v>
      </c>
      <c r="F120" s="234">
        <v>-17824.571000531294</v>
      </c>
      <c r="G120" s="234">
        <v>-22456.867633312973</v>
      </c>
      <c r="H120" s="234">
        <v>-28608.491503941052</v>
      </c>
      <c r="I120" s="234">
        <v>-28300.222209305553</v>
      </c>
      <c r="J120" s="234">
        <v>-30334.249073016592</v>
      </c>
      <c r="K120" s="234">
        <v>-27989.200510253671</v>
      </c>
      <c r="L120" s="234">
        <v>-21999.968500192506</v>
      </c>
      <c r="M120" s="234">
        <v>-19932.912783484811</v>
      </c>
      <c r="N120" s="234">
        <v>-20001.722893894515</v>
      </c>
      <c r="O120" s="235">
        <v>-281235.17845773423</v>
      </c>
    </row>
    <row r="121" spans="1:15" x14ac:dyDescent="0.25">
      <c r="A121" s="83" t="s">
        <v>61</v>
      </c>
      <c r="B121" s="84"/>
      <c r="C121" s="90">
        <v>88933.076258207206</v>
      </c>
      <c r="D121" s="91">
        <v>88166.124344469383</v>
      </c>
      <c r="E121" s="91">
        <v>80496.605207091197</v>
      </c>
      <c r="F121" s="91">
        <v>71982.327440088717</v>
      </c>
      <c r="G121" s="91">
        <v>90689.284988215557</v>
      </c>
      <c r="H121" s="91">
        <v>115531.85784624491</v>
      </c>
      <c r="I121" s="91">
        <v>114286.95039206182</v>
      </c>
      <c r="J121" s="91">
        <v>122501.1165406451</v>
      </c>
      <c r="K121" s="91">
        <v>113030.92769275207</v>
      </c>
      <c r="L121" s="91">
        <v>88844.154297194138</v>
      </c>
      <c r="M121" s="91">
        <v>80496.605207091197</v>
      </c>
      <c r="N121" s="91">
        <v>80774.486335257068</v>
      </c>
      <c r="O121" s="92">
        <v>1135733.5165493181</v>
      </c>
    </row>
    <row r="122" spans="1:15" x14ac:dyDescent="0.25">
      <c r="A122" s="83" t="s">
        <v>88</v>
      </c>
      <c r="B122" s="84"/>
      <c r="C122" s="90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2">
        <v>0</v>
      </c>
    </row>
    <row r="123" spans="1:15" x14ac:dyDescent="0.25">
      <c r="A123" s="96" t="s">
        <v>90</v>
      </c>
      <c r="B123" s="215"/>
      <c r="C123" s="97">
        <v>0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9">
        <v>0</v>
      </c>
    </row>
    <row r="125" spans="1:15" x14ac:dyDescent="0.25">
      <c r="L125" s="218"/>
      <c r="O125" s="218"/>
    </row>
    <row r="126" spans="1:15" x14ac:dyDescent="0.25">
      <c r="L126" s="82"/>
      <c r="O126" s="82"/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M19" sqref="M18:M19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6" customWidth="1"/>
    <col min="5" max="5" width="24.26953125" style="1" customWidth="1"/>
    <col min="6" max="6" width="7.7265625" style="146" customWidth="1"/>
    <col min="7" max="7" width="8.1796875" style="146" customWidth="1"/>
    <col min="8" max="8" width="11.1796875" style="146" bestFit="1" customWidth="1"/>
    <col min="9" max="9" width="11.26953125" style="147" customWidth="1"/>
    <col min="10" max="10" width="14.81640625" style="146" bestFit="1" customWidth="1"/>
    <col min="11" max="11" width="14.81640625" style="148" bestFit="1" customWidth="1"/>
    <col min="12" max="12" width="14.7265625" style="146" customWidth="1"/>
    <col min="13" max="13" width="13.453125" style="110" bestFit="1" customWidth="1"/>
    <col min="14" max="15" width="13.453125" style="110" customWidth="1"/>
    <col min="16" max="16" width="14.81640625" style="110" bestFit="1" customWidth="1"/>
    <col min="17" max="17" width="13.453125" style="110" customWidth="1"/>
    <col min="18" max="18" width="15.54296875" style="213" customWidth="1"/>
    <col min="19" max="16384" width="8.7265625" style="1"/>
  </cols>
  <sheetData>
    <row r="1" spans="2:19" ht="21.5" x14ac:dyDescent="0.3">
      <c r="B1" s="10" t="s">
        <v>95</v>
      </c>
      <c r="C1" s="100"/>
      <c r="D1" s="101"/>
      <c r="E1" s="100"/>
      <c r="F1" s="102" t="s">
        <v>12</v>
      </c>
      <c r="G1" s="103"/>
      <c r="H1" s="104"/>
      <c r="I1" s="105"/>
      <c r="J1" s="220" t="str">
        <f>"True-Up ARR
(CY"&amp;R1&amp;")"</f>
        <v>True-Up ARR
(CY2023)</v>
      </c>
      <c r="K1" s="220" t="str">
        <f>"Projected ARR
(Jan'"&amp;RIGHT(R$1,2)&amp;" - Dec'"&amp;RIGHT(R$1,2)&amp;")"</f>
        <v>Projected ARR
(Jan'23 - Dec'23)</v>
      </c>
      <c r="L1" s="106" t="s">
        <v>45</v>
      </c>
      <c r="M1" s="107"/>
      <c r="N1" s="50"/>
      <c r="O1" s="50"/>
      <c r="P1" s="50"/>
      <c r="Q1" s="50"/>
      <c r="R1" s="108">
        <v>2023</v>
      </c>
      <c r="S1" s="2"/>
    </row>
    <row r="2" spans="2:19" ht="13" x14ac:dyDescent="0.3">
      <c r="B2" s="10" t="s">
        <v>52</v>
      </c>
      <c r="C2" s="100"/>
      <c r="D2" s="101"/>
      <c r="E2" s="100"/>
      <c r="F2" s="109">
        <v>1</v>
      </c>
      <c r="G2" s="237"/>
      <c r="H2" s="237"/>
      <c r="I2" s="111" t="s">
        <v>6</v>
      </c>
      <c r="J2" s="112">
        <v>875839.75082561432</v>
      </c>
      <c r="K2" s="112">
        <v>1216319.0437174225</v>
      </c>
      <c r="L2" s="226"/>
      <c r="M2" s="114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CY2023 SPP Network Transmission Service</v>
      </c>
      <c r="C3" s="100"/>
      <c r="D3" s="101"/>
      <c r="E3" s="100"/>
      <c r="F3" s="109"/>
      <c r="G3" s="237"/>
      <c r="H3" s="237"/>
      <c r="I3" s="111" t="s">
        <v>10</v>
      </c>
      <c r="J3" s="115">
        <v>8.5717057568714825</v>
      </c>
      <c r="K3" s="115">
        <v>11.115245126635072</v>
      </c>
      <c r="L3" s="135" t="str">
        <f>"Inv. Jan-Dec'"&amp;RIGHT(R1,2)</f>
        <v>Inv. Jan-Dec'23</v>
      </c>
      <c r="M3" s="114"/>
      <c r="N3" s="50"/>
      <c r="O3" s="50"/>
      <c r="P3" s="50"/>
      <c r="Q3" s="50"/>
      <c r="R3" s="1"/>
    </row>
    <row r="4" spans="2:19" ht="13" x14ac:dyDescent="0.3">
      <c r="B4" s="9"/>
      <c r="C4" s="100"/>
      <c r="D4" s="101"/>
      <c r="E4" s="100"/>
      <c r="F4" s="109"/>
      <c r="G4" s="110"/>
      <c r="H4" s="110"/>
      <c r="I4" s="49"/>
      <c r="J4" s="217"/>
      <c r="K4" s="116"/>
      <c r="L4" s="110"/>
      <c r="M4" s="117"/>
      <c r="R4" s="1"/>
    </row>
    <row r="5" spans="2:19" ht="13" x14ac:dyDescent="0.3">
      <c r="B5" s="9"/>
      <c r="C5" s="100"/>
      <c r="D5" s="101"/>
      <c r="E5" s="100"/>
      <c r="F5" s="109"/>
      <c r="G5" s="110"/>
      <c r="H5" s="110"/>
      <c r="I5" s="111"/>
      <c r="J5" s="217"/>
      <c r="K5" s="112">
        <v>0</v>
      </c>
      <c r="L5" s="113"/>
      <c r="M5" s="118"/>
      <c r="N5" s="119"/>
      <c r="O5" s="119"/>
      <c r="P5" s="119"/>
      <c r="Q5" s="119"/>
      <c r="R5" s="50"/>
      <c r="S5" s="50"/>
    </row>
    <row r="6" spans="2:19" ht="13" x14ac:dyDescent="0.3">
      <c r="B6" s="10" t="s">
        <v>23</v>
      </c>
      <c r="D6" s="101"/>
      <c r="E6" s="100"/>
      <c r="F6" s="121"/>
      <c r="G6" s="122"/>
      <c r="H6" s="123"/>
      <c r="I6" s="124"/>
      <c r="J6" s="125"/>
      <c r="K6" s="115">
        <v>0</v>
      </c>
      <c r="L6" s="216"/>
      <c r="M6" s="118"/>
      <c r="N6" s="119"/>
      <c r="O6" s="119"/>
      <c r="P6" s="119"/>
      <c r="Q6" s="119"/>
      <c r="R6" s="50"/>
      <c r="S6" s="50"/>
    </row>
    <row r="7" spans="2:19" ht="13" x14ac:dyDescent="0.3">
      <c r="B7" s="9" t="s">
        <v>77</v>
      </c>
      <c r="D7" s="101"/>
      <c r="E7" s="100"/>
      <c r="F7" s="109"/>
      <c r="G7" s="238"/>
      <c r="H7" s="237"/>
      <c r="I7" s="111"/>
      <c r="J7" s="126"/>
      <c r="K7" s="113"/>
      <c r="L7" s="113"/>
      <c r="M7" s="127"/>
      <c r="N7" s="128"/>
      <c r="O7" s="128"/>
      <c r="P7" s="128"/>
      <c r="Q7" s="128"/>
      <c r="R7" s="1"/>
    </row>
    <row r="8" spans="2:19" ht="13" x14ac:dyDescent="0.3">
      <c r="B8" s="10"/>
      <c r="C8" s="100"/>
      <c r="D8" s="101"/>
      <c r="E8" s="100"/>
      <c r="F8" s="109"/>
      <c r="G8" s="237"/>
      <c r="H8" s="237"/>
      <c r="I8" s="111"/>
      <c r="J8" s="129"/>
      <c r="K8" s="113"/>
      <c r="L8" s="130"/>
      <c r="M8" s="114"/>
      <c r="N8" s="50"/>
      <c r="O8" s="50"/>
      <c r="P8" s="50"/>
      <c r="Q8" s="50"/>
      <c r="R8" s="120"/>
    </row>
    <row r="9" spans="2:19" ht="13" x14ac:dyDescent="0.3">
      <c r="B9" s="131"/>
      <c r="C9" s="100"/>
      <c r="D9" s="101"/>
      <c r="E9" s="100"/>
      <c r="F9" s="109"/>
      <c r="G9" s="110"/>
      <c r="H9" s="110"/>
      <c r="I9" s="132"/>
      <c r="J9" s="133"/>
      <c r="K9" s="134"/>
      <c r="L9" s="135"/>
      <c r="M9" s="114"/>
      <c r="N9" s="50"/>
      <c r="O9" s="50"/>
      <c r="P9" s="50"/>
      <c r="Q9" s="50"/>
      <c r="R9" s="120"/>
    </row>
    <row r="10" spans="2:19" ht="13.5" thickBot="1" x14ac:dyDescent="0.35">
      <c r="B10" s="9"/>
      <c r="D10" s="1"/>
      <c r="E10" s="136"/>
      <c r="F10" s="137"/>
      <c r="G10" s="138"/>
      <c r="H10" s="139"/>
      <c r="I10" s="140"/>
      <c r="J10" s="141"/>
      <c r="K10" s="141"/>
      <c r="L10" s="142"/>
      <c r="M10" s="143"/>
      <c r="R10" s="144"/>
    </row>
    <row r="11" spans="2:19" ht="13" x14ac:dyDescent="0.3">
      <c r="B11" s="145"/>
      <c r="E11" s="136"/>
      <c r="L11" s="149"/>
      <c r="M11" s="1"/>
      <c r="N11" s="1"/>
      <c r="O11" s="1"/>
      <c r="P11" s="1"/>
      <c r="Q11" s="1"/>
      <c r="R11" s="120"/>
    </row>
    <row r="12" spans="2:19" x14ac:dyDescent="0.25">
      <c r="E12" s="136"/>
      <c r="L12" s="149"/>
      <c r="R12" s="150" t="s">
        <v>60</v>
      </c>
    </row>
    <row r="13" spans="2:19" ht="13" x14ac:dyDescent="0.3">
      <c r="E13" s="136"/>
      <c r="F13" s="151"/>
      <c r="G13" s="152"/>
      <c r="H13" s="152"/>
      <c r="I13" s="153" t="s">
        <v>58</v>
      </c>
      <c r="J13" s="154">
        <f t="shared" ref="J13:R13" si="0">SUM(J56:J211)</f>
        <v>231316.05155493395</v>
      </c>
      <c r="K13" s="154">
        <f t="shared" si="0"/>
        <v>299956.00498737406</v>
      </c>
      <c r="L13" s="155">
        <f t="shared" si="0"/>
        <v>-68639.953432440278</v>
      </c>
      <c r="M13" s="156">
        <f t="shared" si="0"/>
        <v>-5636.4321482172136</v>
      </c>
      <c r="N13" s="154">
        <f t="shared" si="0"/>
        <v>-74276.385580657457</v>
      </c>
      <c r="O13" s="154">
        <f t="shared" si="0"/>
        <v>0</v>
      </c>
      <c r="P13" s="154">
        <f t="shared" si="0"/>
        <v>0</v>
      </c>
      <c r="Q13" s="154">
        <f t="shared" si="0"/>
        <v>0</v>
      </c>
      <c r="R13" s="155">
        <f t="shared" si="0"/>
        <v>-74276.385580657457</v>
      </c>
    </row>
    <row r="14" spans="2:19" ht="13" x14ac:dyDescent="0.3">
      <c r="E14" s="136"/>
      <c r="F14" s="157"/>
      <c r="G14" s="157"/>
      <c r="H14" s="157"/>
      <c r="I14" s="158" t="s">
        <v>59</v>
      </c>
      <c r="J14" s="154">
        <f>SUM(J20:J211)</f>
        <v>875839.7508256142</v>
      </c>
      <c r="K14" s="154">
        <f>SUM(K20:K211)</f>
        <v>1135733.5165493183</v>
      </c>
      <c r="L14" s="155">
        <f>SUM(L20:L211)</f>
        <v>-259893.76572370401</v>
      </c>
      <c r="M14" s="219">
        <v>-21341.412734030164</v>
      </c>
      <c r="N14" s="154">
        <f>SUM(N20:N211)</f>
        <v>-281235.17845773429</v>
      </c>
      <c r="O14" s="154">
        <f>SUM(O20:O211)</f>
        <v>0</v>
      </c>
      <c r="P14" s="154">
        <f>SUM(P20:P211)</f>
        <v>0</v>
      </c>
      <c r="Q14" s="154">
        <f>SUM(Q20:Q211)</f>
        <v>0</v>
      </c>
      <c r="R14" s="155">
        <f>SUM(R20:R211)</f>
        <v>-281235.17845773429</v>
      </c>
    </row>
    <row r="15" spans="2:19" x14ac:dyDescent="0.25">
      <c r="B15" s="159" t="s">
        <v>82</v>
      </c>
      <c r="E15" s="136"/>
      <c r="J15" s="147"/>
      <c r="L15" s="149"/>
      <c r="M15" s="227"/>
      <c r="N15" s="160"/>
      <c r="O15" s="160"/>
      <c r="P15" s="160"/>
      <c r="Q15" s="160"/>
      <c r="R15" s="161" t="s">
        <v>20</v>
      </c>
    </row>
    <row r="16" spans="2:19" x14ac:dyDescent="0.25">
      <c r="B16" s="162" t="str">
        <f>"** Actual Trued-Up CY"&amp;R1&amp;" Charge reflects "&amp;R1&amp;" True-UP Rate x MW"</f>
        <v>** Actual Trued-Up CY2023 Charge reflects 2023 True-UP Rate x MW</v>
      </c>
      <c r="E16" s="136"/>
      <c r="F16" s="110"/>
      <c r="G16" s="5"/>
      <c r="J16" s="163"/>
      <c r="L16" s="164" t="s">
        <v>11</v>
      </c>
      <c r="M16" s="160"/>
      <c r="N16" s="160"/>
      <c r="O16" s="160"/>
      <c r="P16" s="160"/>
      <c r="Q16" s="160"/>
      <c r="R16" s="165"/>
    </row>
    <row r="17" spans="1:18" x14ac:dyDescent="0.25">
      <c r="B17" s="166" t="s">
        <v>62</v>
      </c>
      <c r="E17" s="136"/>
      <c r="I17" s="167"/>
      <c r="J17" s="168"/>
      <c r="K17" s="169"/>
      <c r="L17" s="169"/>
      <c r="M17" s="169"/>
      <c r="N17" s="169"/>
      <c r="O17" s="169"/>
      <c r="P17" s="169"/>
      <c r="Q17" s="169"/>
      <c r="R17" s="170"/>
    </row>
    <row r="18" spans="1:18" ht="3.65" customHeight="1" x14ac:dyDescent="0.25">
      <c r="I18" s="171"/>
      <c r="J18" s="168"/>
      <c r="K18" s="171"/>
      <c r="L18" s="171"/>
      <c r="M18" s="172"/>
      <c r="N18" s="172"/>
      <c r="O18" s="172"/>
      <c r="P18" s="172"/>
      <c r="Q18" s="172"/>
      <c r="R18" s="173"/>
    </row>
    <row r="19" spans="1:18" ht="38.25" customHeight="1" x14ac:dyDescent="0.25">
      <c r="B19" s="174" t="s">
        <v>53</v>
      </c>
      <c r="C19" s="228" t="s">
        <v>4</v>
      </c>
      <c r="D19" s="228" t="s">
        <v>5</v>
      </c>
      <c r="E19" s="221" t="s">
        <v>0</v>
      </c>
      <c r="F19" s="222" t="s">
        <v>12</v>
      </c>
      <c r="G19" s="229" t="s">
        <v>1</v>
      </c>
      <c r="H19" s="175" t="s">
        <v>48</v>
      </c>
      <c r="I19" s="175" t="s">
        <v>46</v>
      </c>
      <c r="J19" s="176" t="str">
        <f>"True-Up Charge"</f>
        <v>True-Up Charge</v>
      </c>
      <c r="K19" s="176" t="s">
        <v>47</v>
      </c>
      <c r="L19" s="177" t="s">
        <v>3</v>
      </c>
      <c r="M19" s="178" t="s">
        <v>7</v>
      </c>
      <c r="N19" s="179" t="s">
        <v>99</v>
      </c>
      <c r="O19" s="179" t="s">
        <v>84</v>
      </c>
      <c r="P19" s="179" t="s">
        <v>85</v>
      </c>
      <c r="Q19" s="179" t="s">
        <v>86</v>
      </c>
      <c r="R19" s="180" t="s">
        <v>2</v>
      </c>
    </row>
    <row r="20" spans="1:18" s="50" customFormat="1" ht="12.75" customHeight="1" x14ac:dyDescent="0.25">
      <c r="A20" s="110">
        <v>1</v>
      </c>
      <c r="B20" s="181">
        <f>DATE($R$1,A20,1)</f>
        <v>44927</v>
      </c>
      <c r="C20" s="223">
        <v>44960</v>
      </c>
      <c r="D20" s="223">
        <v>44981</v>
      </c>
      <c r="E20" s="182" t="s">
        <v>21</v>
      </c>
      <c r="F20" s="110">
        <v>9</v>
      </c>
      <c r="G20" s="183">
        <v>2810</v>
      </c>
      <c r="H20" s="184">
        <f>+$K$3</f>
        <v>11.115245126635072</v>
      </c>
      <c r="I20" s="184">
        <f t="shared" ref="I20:I63" si="1">$J$3</f>
        <v>8.5717057568714825</v>
      </c>
      <c r="J20" s="185">
        <f t="shared" ref="J20:J108" si="2">+$G20*I20</f>
        <v>24086.493176808865</v>
      </c>
      <c r="K20" s="186">
        <f>+$G20*H20</f>
        <v>31233.838805844553</v>
      </c>
      <c r="L20" s="187">
        <f t="shared" ref="L20:L34" si="3">+J20-K20</f>
        <v>-7147.345629035688</v>
      </c>
      <c r="M20" s="188">
        <f>G20/$G$212*$M$14</f>
        <v>-586.91078101572509</v>
      </c>
      <c r="N20" s="189">
        <f>SUM(L20:M20)</f>
        <v>-7734.2564100514128</v>
      </c>
      <c r="O20" s="188">
        <v>0</v>
      </c>
      <c r="P20" s="188">
        <v>0</v>
      </c>
      <c r="Q20" s="188">
        <v>0</v>
      </c>
      <c r="R20" s="189">
        <f>+N20-Q20</f>
        <v>-7734.2564100514128</v>
      </c>
    </row>
    <row r="21" spans="1:18" x14ac:dyDescent="0.25">
      <c r="A21" s="146">
        <v>2</v>
      </c>
      <c r="B21" s="181">
        <f t="shared" ref="B21:B108" si="4">DATE($R$1,A21,1)</f>
        <v>44958</v>
      </c>
      <c r="C21" s="223">
        <v>44988</v>
      </c>
      <c r="D21" s="223">
        <v>45009</v>
      </c>
      <c r="E21" s="190" t="s">
        <v>21</v>
      </c>
      <c r="F21" s="146">
        <v>9</v>
      </c>
      <c r="G21" s="183">
        <v>2771</v>
      </c>
      <c r="H21" s="184">
        <f t="shared" ref="H21:H84" si="5">+$K$3</f>
        <v>11.115245126635072</v>
      </c>
      <c r="I21" s="184">
        <f t="shared" si="1"/>
        <v>8.5717057568714825</v>
      </c>
      <c r="J21" s="185">
        <f t="shared" si="2"/>
        <v>23752.196652290877</v>
      </c>
      <c r="K21" s="186">
        <f t="shared" ref="K21:K33" si="6">+$G21*H21</f>
        <v>30800.344245905784</v>
      </c>
      <c r="L21" s="187">
        <f t="shared" si="3"/>
        <v>-7048.1475936149072</v>
      </c>
      <c r="M21" s="188">
        <f t="shared" ref="M21:M84" si="7">G21/$G$212*$M$14</f>
        <v>-578.76504419735738</v>
      </c>
      <c r="N21" s="189">
        <f t="shared" ref="N21:N84" si="8">SUM(L21:M21)</f>
        <v>-7626.9126378122646</v>
      </c>
      <c r="O21" s="188">
        <v>0</v>
      </c>
      <c r="P21" s="188">
        <v>0</v>
      </c>
      <c r="Q21" s="188">
        <v>0</v>
      </c>
      <c r="R21" s="189">
        <f t="shared" ref="R21:R84" si="9">+N21-Q21</f>
        <v>-7626.9126378122646</v>
      </c>
    </row>
    <row r="22" spans="1:18" x14ac:dyDescent="0.25">
      <c r="A22" s="146">
        <v>3</v>
      </c>
      <c r="B22" s="181">
        <f t="shared" si="4"/>
        <v>44986</v>
      </c>
      <c r="C22" s="223">
        <v>45021</v>
      </c>
      <c r="D22" s="223">
        <v>45040</v>
      </c>
      <c r="E22" s="190" t="s">
        <v>21</v>
      </c>
      <c r="F22" s="146">
        <v>9</v>
      </c>
      <c r="G22" s="183">
        <v>2389</v>
      </c>
      <c r="H22" s="184">
        <f t="shared" si="5"/>
        <v>11.115245126635072</v>
      </c>
      <c r="I22" s="184">
        <f t="shared" si="1"/>
        <v>8.5717057568714825</v>
      </c>
      <c r="J22" s="185">
        <f t="shared" si="2"/>
        <v>20477.805053165972</v>
      </c>
      <c r="K22" s="186">
        <f t="shared" si="6"/>
        <v>26554.320607531186</v>
      </c>
      <c r="L22" s="187">
        <f t="shared" si="3"/>
        <v>-6076.5155543652145</v>
      </c>
      <c r="M22" s="188">
        <f t="shared" si="7"/>
        <v>-498.97859638667876</v>
      </c>
      <c r="N22" s="189">
        <f t="shared" si="8"/>
        <v>-6575.4941507518934</v>
      </c>
      <c r="O22" s="188">
        <v>0</v>
      </c>
      <c r="P22" s="188">
        <v>0</v>
      </c>
      <c r="Q22" s="188">
        <v>0</v>
      </c>
      <c r="R22" s="189">
        <f t="shared" si="9"/>
        <v>-6575.4941507518934</v>
      </c>
    </row>
    <row r="23" spans="1:18" x14ac:dyDescent="0.25">
      <c r="A23" s="110">
        <v>4</v>
      </c>
      <c r="B23" s="181">
        <f t="shared" si="4"/>
        <v>45017</v>
      </c>
      <c r="C23" s="223">
        <v>45049</v>
      </c>
      <c r="D23" s="223">
        <v>45070</v>
      </c>
      <c r="E23" s="190" t="s">
        <v>21</v>
      </c>
      <c r="F23" s="146">
        <v>9</v>
      </c>
      <c r="G23" s="183">
        <v>2392</v>
      </c>
      <c r="H23" s="184">
        <f t="shared" si="5"/>
        <v>11.115245126635072</v>
      </c>
      <c r="I23" s="184">
        <f t="shared" si="1"/>
        <v>8.5717057568714825</v>
      </c>
      <c r="J23" s="185">
        <f t="shared" si="2"/>
        <v>20503.520170436586</v>
      </c>
      <c r="K23" s="186">
        <f t="shared" si="6"/>
        <v>26587.666342911092</v>
      </c>
      <c r="L23" s="187">
        <f t="shared" si="3"/>
        <v>-6084.1461724745059</v>
      </c>
      <c r="M23" s="188">
        <f t="shared" si="7"/>
        <v>-499.6051915265532</v>
      </c>
      <c r="N23" s="189">
        <f t="shared" si="8"/>
        <v>-6583.7513640010593</v>
      </c>
      <c r="O23" s="188">
        <v>0</v>
      </c>
      <c r="P23" s="188">
        <v>0</v>
      </c>
      <c r="Q23" s="188">
        <v>0</v>
      </c>
      <c r="R23" s="189">
        <f t="shared" si="9"/>
        <v>-6583.7513640010593</v>
      </c>
    </row>
    <row r="24" spans="1:18" ht="12" customHeight="1" x14ac:dyDescent="0.25">
      <c r="A24" s="146">
        <v>5</v>
      </c>
      <c r="B24" s="181">
        <f t="shared" si="4"/>
        <v>45047</v>
      </c>
      <c r="C24" s="223">
        <v>45082</v>
      </c>
      <c r="D24" s="223">
        <v>45103</v>
      </c>
      <c r="E24" s="52" t="s">
        <v>21</v>
      </c>
      <c r="F24" s="146">
        <v>9</v>
      </c>
      <c r="G24" s="183">
        <v>3231</v>
      </c>
      <c r="H24" s="184">
        <f t="shared" si="5"/>
        <v>11.115245126635072</v>
      </c>
      <c r="I24" s="184">
        <f t="shared" si="1"/>
        <v>8.5717057568714825</v>
      </c>
      <c r="J24" s="185">
        <f t="shared" si="2"/>
        <v>27695.181300451761</v>
      </c>
      <c r="K24" s="186">
        <f t="shared" si="6"/>
        <v>35913.357004157915</v>
      </c>
      <c r="L24" s="187">
        <f t="shared" si="3"/>
        <v>-8218.1757037061543</v>
      </c>
      <c r="M24" s="188">
        <f t="shared" si="7"/>
        <v>-674.84296564477143</v>
      </c>
      <c r="N24" s="189">
        <f t="shared" si="8"/>
        <v>-8893.0186693509258</v>
      </c>
      <c r="O24" s="188">
        <v>0</v>
      </c>
      <c r="P24" s="188">
        <v>0</v>
      </c>
      <c r="Q24" s="188">
        <v>0</v>
      </c>
      <c r="R24" s="189">
        <f t="shared" si="9"/>
        <v>-8893.0186693509258</v>
      </c>
    </row>
    <row r="25" spans="1:18" x14ac:dyDescent="0.25">
      <c r="A25" s="146">
        <v>6</v>
      </c>
      <c r="B25" s="181">
        <f t="shared" si="4"/>
        <v>45078</v>
      </c>
      <c r="C25" s="223">
        <v>45112</v>
      </c>
      <c r="D25" s="223">
        <v>45131</v>
      </c>
      <c r="E25" s="52" t="s">
        <v>21</v>
      </c>
      <c r="F25" s="146">
        <v>9</v>
      </c>
      <c r="G25" s="183">
        <v>4100</v>
      </c>
      <c r="H25" s="184">
        <f t="shared" si="5"/>
        <v>11.115245126635072</v>
      </c>
      <c r="I25" s="184">
        <f t="shared" si="1"/>
        <v>8.5717057568714825</v>
      </c>
      <c r="J25" s="185">
        <f t="shared" si="2"/>
        <v>35143.993603173076</v>
      </c>
      <c r="K25" s="186">
        <f t="shared" si="6"/>
        <v>45572.505019203796</v>
      </c>
      <c r="L25" s="191">
        <f t="shared" si="3"/>
        <v>-10428.51141603072</v>
      </c>
      <c r="M25" s="188">
        <f t="shared" si="7"/>
        <v>-856.34669116173416</v>
      </c>
      <c r="N25" s="189">
        <f t="shared" si="8"/>
        <v>-11284.858107192455</v>
      </c>
      <c r="O25" s="188">
        <v>0</v>
      </c>
      <c r="P25" s="188">
        <v>0</v>
      </c>
      <c r="Q25" s="188">
        <v>0</v>
      </c>
      <c r="R25" s="189">
        <f t="shared" si="9"/>
        <v>-11284.858107192455</v>
      </c>
    </row>
    <row r="26" spans="1:18" x14ac:dyDescent="0.25">
      <c r="A26" s="110">
        <v>7</v>
      </c>
      <c r="B26" s="181">
        <f t="shared" si="4"/>
        <v>45108</v>
      </c>
      <c r="C26" s="223">
        <v>45141</v>
      </c>
      <c r="D26" s="223">
        <v>45162</v>
      </c>
      <c r="E26" s="52" t="s">
        <v>21</v>
      </c>
      <c r="F26" s="146">
        <v>9</v>
      </c>
      <c r="G26" s="183">
        <v>3988</v>
      </c>
      <c r="H26" s="184">
        <f t="shared" si="5"/>
        <v>11.115245126635072</v>
      </c>
      <c r="I26" s="184">
        <f t="shared" si="1"/>
        <v>8.5717057568714825</v>
      </c>
      <c r="J26" s="185">
        <f t="shared" si="2"/>
        <v>34183.962558403473</v>
      </c>
      <c r="K26" s="192">
        <f t="shared" si="6"/>
        <v>44327.597565020667</v>
      </c>
      <c r="L26" s="191">
        <f t="shared" si="3"/>
        <v>-10143.635006617194</v>
      </c>
      <c r="M26" s="188">
        <f t="shared" si="7"/>
        <v>-832.95380593975506</v>
      </c>
      <c r="N26" s="189">
        <f t="shared" si="8"/>
        <v>-10976.588812556949</v>
      </c>
      <c r="O26" s="188">
        <v>0</v>
      </c>
      <c r="P26" s="188">
        <v>0</v>
      </c>
      <c r="Q26" s="188">
        <v>0</v>
      </c>
      <c r="R26" s="189">
        <f t="shared" si="9"/>
        <v>-10976.588812556949</v>
      </c>
    </row>
    <row r="27" spans="1:18" x14ac:dyDescent="0.25">
      <c r="A27" s="146">
        <v>8</v>
      </c>
      <c r="B27" s="181">
        <f t="shared" si="4"/>
        <v>45139</v>
      </c>
      <c r="C27" s="223">
        <v>45174</v>
      </c>
      <c r="D27" s="223">
        <v>45194</v>
      </c>
      <c r="E27" s="52" t="s">
        <v>21</v>
      </c>
      <c r="F27" s="146">
        <v>9</v>
      </c>
      <c r="G27" s="183">
        <v>4265</v>
      </c>
      <c r="H27" s="184">
        <f t="shared" si="5"/>
        <v>11.115245126635072</v>
      </c>
      <c r="I27" s="184">
        <f t="shared" si="1"/>
        <v>8.5717057568714825</v>
      </c>
      <c r="J27" s="185">
        <f t="shared" si="2"/>
        <v>36558.325053056869</v>
      </c>
      <c r="K27" s="192">
        <f t="shared" si="6"/>
        <v>47406.520465098583</v>
      </c>
      <c r="L27" s="191">
        <f t="shared" si="3"/>
        <v>-10848.195412041714</v>
      </c>
      <c r="M27" s="188">
        <f t="shared" si="7"/>
        <v>-890.80942385482831</v>
      </c>
      <c r="N27" s="189">
        <f t="shared" si="8"/>
        <v>-11739.004835896543</v>
      </c>
      <c r="O27" s="188">
        <v>0</v>
      </c>
      <c r="P27" s="188">
        <v>0</v>
      </c>
      <c r="Q27" s="188">
        <v>0</v>
      </c>
      <c r="R27" s="189">
        <f t="shared" si="9"/>
        <v>-11739.004835896543</v>
      </c>
    </row>
    <row r="28" spans="1:18" x14ac:dyDescent="0.25">
      <c r="A28" s="146">
        <v>9</v>
      </c>
      <c r="B28" s="181">
        <f t="shared" si="4"/>
        <v>45170</v>
      </c>
      <c r="C28" s="223">
        <v>45203</v>
      </c>
      <c r="D28" s="223">
        <v>45223</v>
      </c>
      <c r="E28" s="52" t="s">
        <v>21</v>
      </c>
      <c r="F28" s="146">
        <v>9</v>
      </c>
      <c r="G28" s="183">
        <v>4016</v>
      </c>
      <c r="H28" s="184">
        <f t="shared" si="5"/>
        <v>11.115245126635072</v>
      </c>
      <c r="I28" s="184">
        <f t="shared" si="1"/>
        <v>8.5717057568714825</v>
      </c>
      <c r="J28" s="185">
        <f t="shared" si="2"/>
        <v>34423.970319595872</v>
      </c>
      <c r="K28" s="192">
        <f t="shared" si="6"/>
        <v>44638.824428566448</v>
      </c>
      <c r="L28" s="191">
        <f t="shared" si="3"/>
        <v>-10214.854108970576</v>
      </c>
      <c r="M28" s="188">
        <f t="shared" si="7"/>
        <v>-838.80202724524986</v>
      </c>
      <c r="N28" s="189">
        <f t="shared" si="8"/>
        <v>-11053.656136215826</v>
      </c>
      <c r="O28" s="188">
        <v>0</v>
      </c>
      <c r="P28" s="188">
        <v>0</v>
      </c>
      <c r="Q28" s="188">
        <v>0</v>
      </c>
      <c r="R28" s="189">
        <f t="shared" si="9"/>
        <v>-11053.656136215826</v>
      </c>
    </row>
    <row r="29" spans="1:18" x14ac:dyDescent="0.25">
      <c r="A29" s="110">
        <v>10</v>
      </c>
      <c r="B29" s="181">
        <f t="shared" si="4"/>
        <v>45200</v>
      </c>
      <c r="C29" s="223">
        <v>45233</v>
      </c>
      <c r="D29" s="223">
        <v>45254</v>
      </c>
      <c r="E29" s="52" t="s">
        <v>21</v>
      </c>
      <c r="F29" s="146">
        <v>9</v>
      </c>
      <c r="G29" s="183">
        <v>3105</v>
      </c>
      <c r="H29" s="184">
        <f t="shared" si="5"/>
        <v>11.115245126635072</v>
      </c>
      <c r="I29" s="184">
        <f t="shared" si="1"/>
        <v>8.5717057568714825</v>
      </c>
      <c r="J29" s="185">
        <f t="shared" si="2"/>
        <v>26615.146375085955</v>
      </c>
      <c r="K29" s="192">
        <f t="shared" si="6"/>
        <v>34512.8361182019</v>
      </c>
      <c r="L29" s="191">
        <f t="shared" si="3"/>
        <v>-7897.689743115945</v>
      </c>
      <c r="M29" s="188">
        <f t="shared" si="7"/>
        <v>-648.52596977004498</v>
      </c>
      <c r="N29" s="189">
        <f t="shared" si="8"/>
        <v>-8546.2157128859908</v>
      </c>
      <c r="O29" s="188">
        <v>0</v>
      </c>
      <c r="P29" s="188">
        <v>0</v>
      </c>
      <c r="Q29" s="188">
        <v>0</v>
      </c>
      <c r="R29" s="189">
        <f t="shared" si="9"/>
        <v>-8546.2157128859908</v>
      </c>
    </row>
    <row r="30" spans="1:18" x14ac:dyDescent="0.25">
      <c r="A30" s="146">
        <v>11</v>
      </c>
      <c r="B30" s="181">
        <f t="shared" si="4"/>
        <v>45231</v>
      </c>
      <c r="C30" s="223">
        <v>45266</v>
      </c>
      <c r="D30" s="223">
        <v>45285</v>
      </c>
      <c r="E30" s="52" t="s">
        <v>21</v>
      </c>
      <c r="F30" s="146">
        <v>9</v>
      </c>
      <c r="G30" s="183">
        <v>2513</v>
      </c>
      <c r="H30" s="184">
        <f t="shared" si="5"/>
        <v>11.115245126635072</v>
      </c>
      <c r="I30" s="184">
        <f t="shared" si="1"/>
        <v>8.5717057568714825</v>
      </c>
      <c r="J30" s="185">
        <f t="shared" si="2"/>
        <v>21540.696567018036</v>
      </c>
      <c r="K30" s="192">
        <f t="shared" si="6"/>
        <v>27932.611003233935</v>
      </c>
      <c r="L30" s="191">
        <f t="shared" si="3"/>
        <v>-6391.9144362158986</v>
      </c>
      <c r="M30" s="188">
        <f t="shared" si="7"/>
        <v>-524.87786216815562</v>
      </c>
      <c r="N30" s="189">
        <f t="shared" si="8"/>
        <v>-6916.7922983840544</v>
      </c>
      <c r="O30" s="188">
        <v>0</v>
      </c>
      <c r="P30" s="188">
        <v>0</v>
      </c>
      <c r="Q30" s="188">
        <v>0</v>
      </c>
      <c r="R30" s="189">
        <f t="shared" si="9"/>
        <v>-6916.7922983840544</v>
      </c>
    </row>
    <row r="31" spans="1:18" x14ac:dyDescent="0.25">
      <c r="A31" s="146">
        <v>12</v>
      </c>
      <c r="B31" s="181">
        <f t="shared" si="4"/>
        <v>45261</v>
      </c>
      <c r="C31" s="224">
        <v>45294</v>
      </c>
      <c r="D31" s="225">
        <v>45315</v>
      </c>
      <c r="E31" s="52" t="s">
        <v>21</v>
      </c>
      <c r="F31" s="146">
        <v>9</v>
      </c>
      <c r="G31" s="183">
        <v>2474</v>
      </c>
      <c r="H31" s="193">
        <f t="shared" si="5"/>
        <v>11.115245126635072</v>
      </c>
      <c r="I31" s="193">
        <f t="shared" si="1"/>
        <v>8.5717057568714825</v>
      </c>
      <c r="J31" s="194">
        <f t="shared" si="2"/>
        <v>21206.400042500049</v>
      </c>
      <c r="K31" s="195">
        <f t="shared" si="6"/>
        <v>27499.116443295166</v>
      </c>
      <c r="L31" s="196">
        <f t="shared" si="3"/>
        <v>-6292.7164007951178</v>
      </c>
      <c r="M31" s="188">
        <f t="shared" si="7"/>
        <v>-516.73212534978791</v>
      </c>
      <c r="N31" s="189">
        <f t="shared" si="8"/>
        <v>-6809.4485261449054</v>
      </c>
      <c r="O31" s="188">
        <v>0</v>
      </c>
      <c r="P31" s="188">
        <v>0</v>
      </c>
      <c r="Q31" s="188">
        <v>0</v>
      </c>
      <c r="R31" s="189">
        <f t="shared" si="9"/>
        <v>-6809.4485261449054</v>
      </c>
    </row>
    <row r="32" spans="1:18" x14ac:dyDescent="0.25">
      <c r="A32" s="110">
        <v>1</v>
      </c>
      <c r="B32" s="197">
        <f t="shared" si="4"/>
        <v>44927</v>
      </c>
      <c r="C32" s="198">
        <f t="shared" ref="C32:D43" si="10">+C20</f>
        <v>44960</v>
      </c>
      <c r="D32" s="198">
        <f t="shared" si="10"/>
        <v>44981</v>
      </c>
      <c r="E32" s="199" t="s">
        <v>22</v>
      </c>
      <c r="F32" s="200">
        <v>9</v>
      </c>
      <c r="G32" s="183">
        <v>2724</v>
      </c>
      <c r="H32" s="184">
        <f t="shared" si="5"/>
        <v>11.115245126635072</v>
      </c>
      <c r="I32" s="184">
        <f t="shared" si="1"/>
        <v>8.5717057568714825</v>
      </c>
      <c r="J32" s="185">
        <f t="shared" si="2"/>
        <v>23349.326481717919</v>
      </c>
      <c r="K32" s="186">
        <f t="shared" si="6"/>
        <v>30277.927724953937</v>
      </c>
      <c r="L32" s="187">
        <f t="shared" si="3"/>
        <v>-6928.6012432360185</v>
      </c>
      <c r="M32" s="188">
        <f t="shared" si="7"/>
        <v>-568.94838700599121</v>
      </c>
      <c r="N32" s="189">
        <f t="shared" si="8"/>
        <v>-7497.5496302420097</v>
      </c>
      <c r="O32" s="188">
        <v>0</v>
      </c>
      <c r="P32" s="188">
        <v>0</v>
      </c>
      <c r="Q32" s="188">
        <v>0</v>
      </c>
      <c r="R32" s="189">
        <f t="shared" si="9"/>
        <v>-7497.5496302420097</v>
      </c>
    </row>
    <row r="33" spans="1:18" x14ac:dyDescent="0.25">
      <c r="A33" s="146">
        <v>2</v>
      </c>
      <c r="B33" s="181">
        <f t="shared" si="4"/>
        <v>44958</v>
      </c>
      <c r="C33" s="201">
        <f t="shared" si="10"/>
        <v>44988</v>
      </c>
      <c r="D33" s="201">
        <f t="shared" si="10"/>
        <v>45009</v>
      </c>
      <c r="E33" s="190" t="s">
        <v>22</v>
      </c>
      <c r="F33" s="146">
        <v>9</v>
      </c>
      <c r="G33" s="183">
        <v>2757</v>
      </c>
      <c r="H33" s="184">
        <f t="shared" si="5"/>
        <v>11.115245126635072</v>
      </c>
      <c r="I33" s="184">
        <f t="shared" si="1"/>
        <v>8.5717057568714825</v>
      </c>
      <c r="J33" s="185">
        <f t="shared" si="2"/>
        <v>23632.192771694678</v>
      </c>
      <c r="K33" s="186">
        <f t="shared" si="6"/>
        <v>30644.730814132894</v>
      </c>
      <c r="L33" s="187">
        <f t="shared" si="3"/>
        <v>-7012.5380424382165</v>
      </c>
      <c r="M33" s="188">
        <f t="shared" si="7"/>
        <v>-575.84093354461004</v>
      </c>
      <c r="N33" s="189">
        <f t="shared" si="8"/>
        <v>-7588.3789759828269</v>
      </c>
      <c r="O33" s="188">
        <v>0</v>
      </c>
      <c r="P33" s="188">
        <v>0</v>
      </c>
      <c r="Q33" s="188">
        <v>0</v>
      </c>
      <c r="R33" s="189">
        <f t="shared" si="9"/>
        <v>-7588.3789759828269</v>
      </c>
    </row>
    <row r="34" spans="1:18" x14ac:dyDescent="0.25">
      <c r="A34" s="146">
        <v>3</v>
      </c>
      <c r="B34" s="181">
        <f t="shared" si="4"/>
        <v>44986</v>
      </c>
      <c r="C34" s="201">
        <f t="shared" si="10"/>
        <v>45021</v>
      </c>
      <c r="D34" s="201">
        <f t="shared" si="10"/>
        <v>45040</v>
      </c>
      <c r="E34" s="190" t="s">
        <v>22</v>
      </c>
      <c r="F34" s="146">
        <v>9</v>
      </c>
      <c r="G34" s="183">
        <v>2641</v>
      </c>
      <c r="H34" s="184">
        <f t="shared" si="5"/>
        <v>11.115245126635072</v>
      </c>
      <c r="I34" s="184">
        <f t="shared" si="1"/>
        <v>8.5717057568714825</v>
      </c>
      <c r="J34" s="185">
        <f t="shared" si="2"/>
        <v>22637.874903897584</v>
      </c>
      <c r="K34" s="186">
        <f t="shared" ref="K34:K93" si="11">+$G34*H34</f>
        <v>29355.362379443224</v>
      </c>
      <c r="L34" s="187">
        <f t="shared" si="3"/>
        <v>-6717.4874755456403</v>
      </c>
      <c r="M34" s="188">
        <f t="shared" si="7"/>
        <v>-551.61258813613165</v>
      </c>
      <c r="N34" s="189">
        <f t="shared" si="8"/>
        <v>-7269.1000636817716</v>
      </c>
      <c r="O34" s="188">
        <v>0</v>
      </c>
      <c r="P34" s="188">
        <v>0</v>
      </c>
      <c r="Q34" s="188">
        <v>0</v>
      </c>
      <c r="R34" s="189">
        <f t="shared" si="9"/>
        <v>-7269.1000636817716</v>
      </c>
    </row>
    <row r="35" spans="1:18" x14ac:dyDescent="0.25">
      <c r="A35" s="110">
        <v>4</v>
      </c>
      <c r="B35" s="181">
        <f t="shared" si="4"/>
        <v>45017</v>
      </c>
      <c r="C35" s="201">
        <f t="shared" si="10"/>
        <v>45049</v>
      </c>
      <c r="D35" s="201">
        <f t="shared" si="10"/>
        <v>45070</v>
      </c>
      <c r="E35" s="190" t="s">
        <v>22</v>
      </c>
      <c r="F35" s="146">
        <v>9</v>
      </c>
      <c r="G35" s="183">
        <v>2417</v>
      </c>
      <c r="H35" s="184">
        <f t="shared" si="5"/>
        <v>11.115245126635072</v>
      </c>
      <c r="I35" s="184">
        <f t="shared" si="1"/>
        <v>8.5717057568714825</v>
      </c>
      <c r="J35" s="185">
        <f t="shared" si="2"/>
        <v>20717.812814358374</v>
      </c>
      <c r="K35" s="186">
        <f t="shared" si="11"/>
        <v>26865.54747107697</v>
      </c>
      <c r="L35" s="187">
        <f t="shared" ref="L35:L57" si="12">+J35-K35</f>
        <v>-6147.7346567185959</v>
      </c>
      <c r="M35" s="188">
        <f t="shared" si="7"/>
        <v>-504.82681769217351</v>
      </c>
      <c r="N35" s="189">
        <f t="shared" si="8"/>
        <v>-6652.5614744107697</v>
      </c>
      <c r="O35" s="188">
        <v>0</v>
      </c>
      <c r="P35" s="188">
        <v>0</v>
      </c>
      <c r="Q35" s="188">
        <v>0</v>
      </c>
      <c r="R35" s="189">
        <f t="shared" si="9"/>
        <v>-6652.5614744107697</v>
      </c>
    </row>
    <row r="36" spans="1:18" x14ac:dyDescent="0.25">
      <c r="A36" s="146">
        <v>5</v>
      </c>
      <c r="B36" s="181">
        <f t="shared" si="4"/>
        <v>45047</v>
      </c>
      <c r="C36" s="201">
        <f t="shared" si="10"/>
        <v>45082</v>
      </c>
      <c r="D36" s="201">
        <f t="shared" si="10"/>
        <v>45103</v>
      </c>
      <c r="E36" s="52" t="s">
        <v>22</v>
      </c>
      <c r="F36" s="146">
        <v>9</v>
      </c>
      <c r="G36" s="183">
        <v>2844</v>
      </c>
      <c r="H36" s="184">
        <f t="shared" si="5"/>
        <v>11.115245126635072</v>
      </c>
      <c r="I36" s="184">
        <f t="shared" si="1"/>
        <v>8.5717057568714825</v>
      </c>
      <c r="J36" s="185">
        <f t="shared" si="2"/>
        <v>24377.931172542496</v>
      </c>
      <c r="K36" s="186">
        <f t="shared" si="11"/>
        <v>31611.757140150145</v>
      </c>
      <c r="L36" s="187">
        <f t="shared" si="12"/>
        <v>-7233.8259676076486</v>
      </c>
      <c r="M36" s="188">
        <f t="shared" si="7"/>
        <v>-594.01219260096877</v>
      </c>
      <c r="N36" s="189">
        <f t="shared" si="8"/>
        <v>-7827.8381602086174</v>
      </c>
      <c r="O36" s="188">
        <v>0</v>
      </c>
      <c r="P36" s="188">
        <v>0</v>
      </c>
      <c r="Q36" s="188">
        <v>0</v>
      </c>
      <c r="R36" s="189">
        <f t="shared" si="9"/>
        <v>-7827.8381602086174</v>
      </c>
    </row>
    <row r="37" spans="1:18" x14ac:dyDescent="0.25">
      <c r="A37" s="146">
        <v>6</v>
      </c>
      <c r="B37" s="181">
        <f t="shared" si="4"/>
        <v>45078</v>
      </c>
      <c r="C37" s="201">
        <f t="shared" si="10"/>
        <v>45112</v>
      </c>
      <c r="D37" s="201">
        <f t="shared" si="10"/>
        <v>45131</v>
      </c>
      <c r="E37" s="52" t="s">
        <v>22</v>
      </c>
      <c r="F37" s="146">
        <v>9</v>
      </c>
      <c r="G37" s="183">
        <v>3500</v>
      </c>
      <c r="H37" s="184">
        <f t="shared" si="5"/>
        <v>11.115245126635072</v>
      </c>
      <c r="I37" s="184">
        <f t="shared" si="1"/>
        <v>8.5717057568714825</v>
      </c>
      <c r="J37" s="185">
        <f t="shared" si="2"/>
        <v>30000.97014905019</v>
      </c>
      <c r="K37" s="186">
        <f t="shared" si="11"/>
        <v>38903.357943222749</v>
      </c>
      <c r="L37" s="191">
        <f t="shared" si="12"/>
        <v>-8902.3877941725586</v>
      </c>
      <c r="M37" s="188">
        <f t="shared" si="7"/>
        <v>-731.02766318684621</v>
      </c>
      <c r="N37" s="189">
        <f t="shared" si="8"/>
        <v>-9633.4154573594042</v>
      </c>
      <c r="O37" s="188">
        <v>0</v>
      </c>
      <c r="P37" s="188">
        <v>0</v>
      </c>
      <c r="Q37" s="188">
        <v>0</v>
      </c>
      <c r="R37" s="189">
        <f t="shared" si="9"/>
        <v>-9633.4154573594042</v>
      </c>
    </row>
    <row r="38" spans="1:18" x14ac:dyDescent="0.25">
      <c r="A38" s="110">
        <v>7</v>
      </c>
      <c r="B38" s="181">
        <f t="shared" si="4"/>
        <v>45108</v>
      </c>
      <c r="C38" s="201">
        <f t="shared" si="10"/>
        <v>45141</v>
      </c>
      <c r="D38" s="201">
        <f t="shared" si="10"/>
        <v>45162</v>
      </c>
      <c r="E38" s="52" t="s">
        <v>22</v>
      </c>
      <c r="F38" s="146">
        <v>9</v>
      </c>
      <c r="G38" s="183">
        <v>3569</v>
      </c>
      <c r="H38" s="184">
        <f t="shared" si="5"/>
        <v>11.115245126635072</v>
      </c>
      <c r="I38" s="184">
        <f t="shared" si="1"/>
        <v>8.5717057568714825</v>
      </c>
      <c r="J38" s="185">
        <f t="shared" si="2"/>
        <v>30592.417846274322</v>
      </c>
      <c r="K38" s="192">
        <f t="shared" si="11"/>
        <v>39670.309856960572</v>
      </c>
      <c r="L38" s="191">
        <f t="shared" si="12"/>
        <v>-9077.8920106862497</v>
      </c>
      <c r="M38" s="188">
        <f t="shared" si="7"/>
        <v>-745.43935140395843</v>
      </c>
      <c r="N38" s="189">
        <f t="shared" si="8"/>
        <v>-9823.3313620902081</v>
      </c>
      <c r="O38" s="188">
        <v>0</v>
      </c>
      <c r="P38" s="188">
        <v>0</v>
      </c>
      <c r="Q38" s="188">
        <v>0</v>
      </c>
      <c r="R38" s="189">
        <f t="shared" si="9"/>
        <v>-9823.3313620902081</v>
      </c>
    </row>
    <row r="39" spans="1:18" x14ac:dyDescent="0.25">
      <c r="A39" s="146">
        <v>8</v>
      </c>
      <c r="B39" s="181">
        <f t="shared" si="4"/>
        <v>45139</v>
      </c>
      <c r="C39" s="201">
        <f t="shared" si="10"/>
        <v>45174</v>
      </c>
      <c r="D39" s="201">
        <f t="shared" si="10"/>
        <v>45194</v>
      </c>
      <c r="E39" s="52" t="s">
        <v>22</v>
      </c>
      <c r="F39" s="146">
        <v>9</v>
      </c>
      <c r="G39" s="183">
        <v>3766</v>
      </c>
      <c r="H39" s="184">
        <f t="shared" si="5"/>
        <v>11.115245126635072</v>
      </c>
      <c r="I39" s="184">
        <f t="shared" si="1"/>
        <v>8.5717057568714825</v>
      </c>
      <c r="J39" s="185">
        <f t="shared" si="2"/>
        <v>32281.043880378002</v>
      </c>
      <c r="K39" s="192">
        <f t="shared" si="11"/>
        <v>41860.01314690768</v>
      </c>
      <c r="L39" s="191">
        <f t="shared" si="12"/>
        <v>-9578.9692665296789</v>
      </c>
      <c r="M39" s="188">
        <f t="shared" si="7"/>
        <v>-786.58576558904645</v>
      </c>
      <c r="N39" s="189">
        <f t="shared" si="8"/>
        <v>-10365.555032118726</v>
      </c>
      <c r="O39" s="188">
        <v>0</v>
      </c>
      <c r="P39" s="188">
        <v>0</v>
      </c>
      <c r="Q39" s="188">
        <v>0</v>
      </c>
      <c r="R39" s="189">
        <f t="shared" si="9"/>
        <v>-10365.555032118726</v>
      </c>
    </row>
    <row r="40" spans="1:18" x14ac:dyDescent="0.25">
      <c r="A40" s="146">
        <v>9</v>
      </c>
      <c r="B40" s="181">
        <f t="shared" si="4"/>
        <v>45170</v>
      </c>
      <c r="C40" s="201">
        <f t="shared" si="10"/>
        <v>45203</v>
      </c>
      <c r="D40" s="201">
        <f t="shared" si="10"/>
        <v>45223</v>
      </c>
      <c r="E40" s="52" t="s">
        <v>22</v>
      </c>
      <c r="F40" s="146">
        <v>9</v>
      </c>
      <c r="G40" s="183">
        <v>3456</v>
      </c>
      <c r="H40" s="184">
        <f t="shared" si="5"/>
        <v>11.115245126635072</v>
      </c>
      <c r="I40" s="184">
        <f t="shared" si="1"/>
        <v>8.5717057568714825</v>
      </c>
      <c r="J40" s="185">
        <f t="shared" si="2"/>
        <v>29623.815095747843</v>
      </c>
      <c r="K40" s="192">
        <f t="shared" si="11"/>
        <v>38414.287157650811</v>
      </c>
      <c r="L40" s="191">
        <f t="shared" si="12"/>
        <v>-8790.4720619029686</v>
      </c>
      <c r="M40" s="188">
        <f t="shared" si="7"/>
        <v>-721.83760113535448</v>
      </c>
      <c r="N40" s="189">
        <f t="shared" si="8"/>
        <v>-9512.3096630383225</v>
      </c>
      <c r="O40" s="188">
        <v>0</v>
      </c>
      <c r="P40" s="188">
        <v>0</v>
      </c>
      <c r="Q40" s="188">
        <v>0</v>
      </c>
      <c r="R40" s="189">
        <f t="shared" si="9"/>
        <v>-9512.3096630383225</v>
      </c>
    </row>
    <row r="41" spans="1:18" x14ac:dyDescent="0.25">
      <c r="A41" s="110">
        <v>10</v>
      </c>
      <c r="B41" s="181">
        <f t="shared" si="4"/>
        <v>45200</v>
      </c>
      <c r="C41" s="201">
        <f t="shared" si="10"/>
        <v>45233</v>
      </c>
      <c r="D41" s="201">
        <f t="shared" si="10"/>
        <v>45254</v>
      </c>
      <c r="E41" s="52" t="s">
        <v>22</v>
      </c>
      <c r="F41" s="146">
        <v>9</v>
      </c>
      <c r="G41" s="183">
        <v>2810</v>
      </c>
      <c r="H41" s="184">
        <f t="shared" si="5"/>
        <v>11.115245126635072</v>
      </c>
      <c r="I41" s="184">
        <f t="shared" si="1"/>
        <v>8.5717057568714825</v>
      </c>
      <c r="J41" s="185">
        <f t="shared" si="2"/>
        <v>24086.493176808865</v>
      </c>
      <c r="K41" s="192">
        <f t="shared" si="11"/>
        <v>31233.838805844553</v>
      </c>
      <c r="L41" s="191">
        <f t="shared" si="12"/>
        <v>-7147.345629035688</v>
      </c>
      <c r="M41" s="188">
        <f t="shared" si="7"/>
        <v>-586.91078101572509</v>
      </c>
      <c r="N41" s="189">
        <f t="shared" si="8"/>
        <v>-7734.2564100514128</v>
      </c>
      <c r="O41" s="188">
        <v>0</v>
      </c>
      <c r="P41" s="188">
        <v>0</v>
      </c>
      <c r="Q41" s="188">
        <v>0</v>
      </c>
      <c r="R41" s="189">
        <f t="shared" si="9"/>
        <v>-7734.2564100514128</v>
      </c>
    </row>
    <row r="42" spans="1:18" x14ac:dyDescent="0.25">
      <c r="A42" s="146">
        <v>11</v>
      </c>
      <c r="B42" s="181">
        <f t="shared" si="4"/>
        <v>45231</v>
      </c>
      <c r="C42" s="201">
        <f t="shared" si="10"/>
        <v>45266</v>
      </c>
      <c r="D42" s="201">
        <f t="shared" si="10"/>
        <v>45285</v>
      </c>
      <c r="E42" s="52" t="s">
        <v>22</v>
      </c>
      <c r="F42" s="146">
        <v>9</v>
      </c>
      <c r="G42" s="183">
        <v>2499</v>
      </c>
      <c r="H42" s="184">
        <f t="shared" si="5"/>
        <v>11.115245126635072</v>
      </c>
      <c r="I42" s="184">
        <f t="shared" si="1"/>
        <v>8.5717057568714825</v>
      </c>
      <c r="J42" s="185">
        <f t="shared" si="2"/>
        <v>21420.692686421833</v>
      </c>
      <c r="K42" s="192">
        <f t="shared" si="11"/>
        <v>27776.997571461045</v>
      </c>
      <c r="L42" s="191">
        <f t="shared" si="12"/>
        <v>-6356.3048850392115</v>
      </c>
      <c r="M42" s="188">
        <f t="shared" si="7"/>
        <v>-521.95375151540827</v>
      </c>
      <c r="N42" s="189">
        <f t="shared" si="8"/>
        <v>-6878.2586365546194</v>
      </c>
      <c r="O42" s="188">
        <v>0</v>
      </c>
      <c r="P42" s="188">
        <v>0</v>
      </c>
      <c r="Q42" s="188">
        <v>0</v>
      </c>
      <c r="R42" s="189">
        <f t="shared" si="9"/>
        <v>-6878.2586365546194</v>
      </c>
    </row>
    <row r="43" spans="1:18" x14ac:dyDescent="0.25">
      <c r="A43" s="146">
        <v>12</v>
      </c>
      <c r="B43" s="181">
        <f t="shared" si="4"/>
        <v>45261</v>
      </c>
      <c r="C43" s="201">
        <f t="shared" si="10"/>
        <v>45294</v>
      </c>
      <c r="D43" s="201">
        <f t="shared" si="10"/>
        <v>45315</v>
      </c>
      <c r="E43" s="52" t="s">
        <v>22</v>
      </c>
      <c r="F43" s="146">
        <v>9</v>
      </c>
      <c r="G43" s="183">
        <v>2532</v>
      </c>
      <c r="H43" s="193">
        <f t="shared" si="5"/>
        <v>11.115245126635072</v>
      </c>
      <c r="I43" s="193">
        <f t="shared" si="1"/>
        <v>8.5717057568714825</v>
      </c>
      <c r="J43" s="194">
        <f t="shared" si="2"/>
        <v>21703.558976398595</v>
      </c>
      <c r="K43" s="195">
        <f t="shared" si="11"/>
        <v>28143.800660640001</v>
      </c>
      <c r="L43" s="196">
        <f t="shared" si="12"/>
        <v>-6440.2416842414059</v>
      </c>
      <c r="M43" s="188">
        <f t="shared" si="7"/>
        <v>-528.84629805402699</v>
      </c>
      <c r="N43" s="189">
        <f t="shared" si="8"/>
        <v>-6969.087982295433</v>
      </c>
      <c r="O43" s="188">
        <v>0</v>
      </c>
      <c r="P43" s="188">
        <v>0</v>
      </c>
      <c r="Q43" s="188">
        <v>0</v>
      </c>
      <c r="R43" s="189">
        <f t="shared" si="9"/>
        <v>-6969.087982295433</v>
      </c>
    </row>
    <row r="44" spans="1:18" x14ac:dyDescent="0.25">
      <c r="A44" s="110">
        <v>1</v>
      </c>
      <c r="B44" s="197">
        <f t="shared" ref="B44:B55" si="13">DATE($R$1,A44,1)</f>
        <v>44927</v>
      </c>
      <c r="C44" s="198">
        <f t="shared" ref="C44:D55" si="14">+C32</f>
        <v>44960</v>
      </c>
      <c r="D44" s="198">
        <f t="shared" si="14"/>
        <v>44981</v>
      </c>
      <c r="E44" s="199" t="s">
        <v>81</v>
      </c>
      <c r="F44" s="200">
        <v>9</v>
      </c>
      <c r="G44" s="183">
        <v>137</v>
      </c>
      <c r="H44" s="184">
        <f t="shared" si="5"/>
        <v>11.115245126635072</v>
      </c>
      <c r="I44" s="184">
        <f t="shared" si="1"/>
        <v>8.5717057568714825</v>
      </c>
      <c r="J44" s="188">
        <f t="shared" ref="J44:J55" si="15">+$G44*I44</f>
        <v>1174.323688691393</v>
      </c>
      <c r="K44" s="192">
        <f t="shared" ref="K44:K55" si="16">+$G44*H44</f>
        <v>1522.7885823490049</v>
      </c>
      <c r="L44" s="191">
        <f t="shared" ref="L44:L55" si="17">+J44-K44</f>
        <v>-348.46489365761181</v>
      </c>
      <c r="M44" s="188">
        <f t="shared" si="7"/>
        <v>-28.614511387599407</v>
      </c>
      <c r="N44" s="189">
        <f t="shared" si="8"/>
        <v>-377.07940504521122</v>
      </c>
      <c r="O44" s="188">
        <v>0</v>
      </c>
      <c r="P44" s="188">
        <v>0</v>
      </c>
      <c r="Q44" s="188">
        <v>0</v>
      </c>
      <c r="R44" s="189">
        <f t="shared" si="9"/>
        <v>-377.07940504521122</v>
      </c>
    </row>
    <row r="45" spans="1:18" x14ac:dyDescent="0.25">
      <c r="A45" s="146">
        <v>2</v>
      </c>
      <c r="B45" s="181">
        <f t="shared" si="13"/>
        <v>44958</v>
      </c>
      <c r="C45" s="201">
        <f t="shared" si="14"/>
        <v>44988</v>
      </c>
      <c r="D45" s="201">
        <f t="shared" si="14"/>
        <v>45009</v>
      </c>
      <c r="E45" s="190" t="s">
        <v>81</v>
      </c>
      <c r="F45" s="146">
        <v>9</v>
      </c>
      <c r="G45" s="183">
        <v>132</v>
      </c>
      <c r="H45" s="184">
        <f t="shared" si="5"/>
        <v>11.115245126635072</v>
      </c>
      <c r="I45" s="184">
        <f t="shared" si="1"/>
        <v>8.5717057568714825</v>
      </c>
      <c r="J45" s="188">
        <f t="shared" si="15"/>
        <v>1131.4651599070357</v>
      </c>
      <c r="K45" s="192">
        <f t="shared" si="16"/>
        <v>1467.2123567158294</v>
      </c>
      <c r="L45" s="191">
        <f t="shared" si="17"/>
        <v>-335.74719680879366</v>
      </c>
      <c r="M45" s="188">
        <f t="shared" si="7"/>
        <v>-27.570186154475344</v>
      </c>
      <c r="N45" s="189">
        <f t="shared" si="8"/>
        <v>-363.31738296326898</v>
      </c>
      <c r="O45" s="188">
        <v>0</v>
      </c>
      <c r="P45" s="188">
        <v>0</v>
      </c>
      <c r="Q45" s="188">
        <v>0</v>
      </c>
      <c r="R45" s="189">
        <f t="shared" si="9"/>
        <v>-363.31738296326898</v>
      </c>
    </row>
    <row r="46" spans="1:18" x14ac:dyDescent="0.25">
      <c r="A46" s="146">
        <v>3</v>
      </c>
      <c r="B46" s="181">
        <f t="shared" si="13"/>
        <v>44986</v>
      </c>
      <c r="C46" s="201">
        <f t="shared" si="14"/>
        <v>45021</v>
      </c>
      <c r="D46" s="201">
        <f t="shared" si="14"/>
        <v>45040</v>
      </c>
      <c r="E46" s="190" t="s">
        <v>81</v>
      </c>
      <c r="F46" s="146">
        <v>9</v>
      </c>
      <c r="G46" s="183">
        <v>148</v>
      </c>
      <c r="H46" s="184">
        <f t="shared" si="5"/>
        <v>11.115245126635072</v>
      </c>
      <c r="I46" s="184">
        <f t="shared" si="1"/>
        <v>8.5717057568714825</v>
      </c>
      <c r="J46" s="188">
        <f t="shared" si="15"/>
        <v>1268.6124520169794</v>
      </c>
      <c r="K46" s="192">
        <f t="shared" si="16"/>
        <v>1645.0562787419906</v>
      </c>
      <c r="L46" s="191">
        <f t="shared" si="17"/>
        <v>-376.44382672501115</v>
      </c>
      <c r="M46" s="188">
        <f t="shared" si="7"/>
        <v>-30.912026900472352</v>
      </c>
      <c r="N46" s="189">
        <f t="shared" si="8"/>
        <v>-407.35585362548352</v>
      </c>
      <c r="O46" s="188">
        <v>0</v>
      </c>
      <c r="P46" s="188">
        <v>0</v>
      </c>
      <c r="Q46" s="188">
        <v>0</v>
      </c>
      <c r="R46" s="189">
        <f t="shared" si="9"/>
        <v>-407.35585362548352</v>
      </c>
    </row>
    <row r="47" spans="1:18" x14ac:dyDescent="0.25">
      <c r="A47" s="110">
        <v>4</v>
      </c>
      <c r="B47" s="181">
        <f t="shared" si="13"/>
        <v>45017</v>
      </c>
      <c r="C47" s="201">
        <f t="shared" si="14"/>
        <v>45049</v>
      </c>
      <c r="D47" s="201">
        <f t="shared" si="14"/>
        <v>45070</v>
      </c>
      <c r="E47" s="190" t="s">
        <v>81</v>
      </c>
      <c r="F47" s="146">
        <v>9</v>
      </c>
      <c r="G47" s="183">
        <v>92</v>
      </c>
      <c r="H47" s="184">
        <f t="shared" si="5"/>
        <v>11.115245126635072</v>
      </c>
      <c r="I47" s="184">
        <f t="shared" si="1"/>
        <v>8.5717057568714825</v>
      </c>
      <c r="J47" s="188">
        <f t="shared" si="15"/>
        <v>788.5969296321764</v>
      </c>
      <c r="K47" s="192">
        <f t="shared" si="16"/>
        <v>1022.6025516504267</v>
      </c>
      <c r="L47" s="191">
        <f t="shared" si="17"/>
        <v>-234.00562201825028</v>
      </c>
      <c r="M47" s="188">
        <f t="shared" si="7"/>
        <v>-19.215584289482816</v>
      </c>
      <c r="N47" s="189">
        <f t="shared" si="8"/>
        <v>-253.2212063077331</v>
      </c>
      <c r="O47" s="188">
        <v>0</v>
      </c>
      <c r="P47" s="188">
        <v>0</v>
      </c>
      <c r="Q47" s="188">
        <v>0</v>
      </c>
      <c r="R47" s="189">
        <f t="shared" si="9"/>
        <v>-253.2212063077331</v>
      </c>
    </row>
    <row r="48" spans="1:18" x14ac:dyDescent="0.25">
      <c r="A48" s="146">
        <v>5</v>
      </c>
      <c r="B48" s="181">
        <f t="shared" si="13"/>
        <v>45047</v>
      </c>
      <c r="C48" s="201">
        <f t="shared" si="14"/>
        <v>45082</v>
      </c>
      <c r="D48" s="201">
        <f t="shared" si="14"/>
        <v>45103</v>
      </c>
      <c r="E48" s="190" t="s">
        <v>81</v>
      </c>
      <c r="F48" s="146">
        <v>9</v>
      </c>
      <c r="G48" s="183">
        <v>104</v>
      </c>
      <c r="H48" s="184">
        <f t="shared" si="5"/>
        <v>11.115245126635072</v>
      </c>
      <c r="I48" s="184">
        <f t="shared" si="1"/>
        <v>8.5717057568714825</v>
      </c>
      <c r="J48" s="188">
        <f t="shared" si="15"/>
        <v>891.45739871463422</v>
      </c>
      <c r="K48" s="192">
        <f t="shared" si="16"/>
        <v>1155.9854931700474</v>
      </c>
      <c r="L48" s="191">
        <f t="shared" si="17"/>
        <v>-264.52809445541322</v>
      </c>
      <c r="M48" s="188">
        <f t="shared" si="7"/>
        <v>-21.721964848980573</v>
      </c>
      <c r="N48" s="189">
        <f t="shared" si="8"/>
        <v>-286.2500593043938</v>
      </c>
      <c r="O48" s="188">
        <v>0</v>
      </c>
      <c r="P48" s="188">
        <v>0</v>
      </c>
      <c r="Q48" s="188">
        <v>0</v>
      </c>
      <c r="R48" s="189">
        <f t="shared" si="9"/>
        <v>-286.2500593043938</v>
      </c>
    </row>
    <row r="49" spans="1:18" x14ac:dyDescent="0.25">
      <c r="A49" s="146">
        <v>6</v>
      </c>
      <c r="B49" s="181">
        <f t="shared" si="13"/>
        <v>45078</v>
      </c>
      <c r="C49" s="201">
        <f t="shared" si="14"/>
        <v>45112</v>
      </c>
      <c r="D49" s="201">
        <f t="shared" si="14"/>
        <v>45131</v>
      </c>
      <c r="E49" s="190" t="s">
        <v>81</v>
      </c>
      <c r="F49" s="146">
        <v>9</v>
      </c>
      <c r="G49" s="183">
        <v>156</v>
      </c>
      <c r="H49" s="184">
        <f t="shared" si="5"/>
        <v>11.115245126635072</v>
      </c>
      <c r="I49" s="184">
        <f t="shared" si="1"/>
        <v>8.5717057568714825</v>
      </c>
      <c r="J49" s="188">
        <f t="shared" si="15"/>
        <v>1337.1860980719512</v>
      </c>
      <c r="K49" s="192">
        <f t="shared" si="16"/>
        <v>1733.9782397550712</v>
      </c>
      <c r="L49" s="191">
        <f t="shared" si="17"/>
        <v>-396.79214168312001</v>
      </c>
      <c r="M49" s="188">
        <f t="shared" si="7"/>
        <v>-32.582947273470865</v>
      </c>
      <c r="N49" s="189">
        <f t="shared" si="8"/>
        <v>-429.37508895659084</v>
      </c>
      <c r="O49" s="188">
        <v>0</v>
      </c>
      <c r="P49" s="188">
        <v>0</v>
      </c>
      <c r="Q49" s="188">
        <v>0</v>
      </c>
      <c r="R49" s="189">
        <f t="shared" si="9"/>
        <v>-429.37508895659084</v>
      </c>
    </row>
    <row r="50" spans="1:18" x14ac:dyDescent="0.25">
      <c r="A50" s="110">
        <v>7</v>
      </c>
      <c r="B50" s="181">
        <f t="shared" si="13"/>
        <v>45108</v>
      </c>
      <c r="C50" s="201">
        <f t="shared" si="14"/>
        <v>45141</v>
      </c>
      <c r="D50" s="201">
        <f t="shared" si="14"/>
        <v>45162</v>
      </c>
      <c r="E50" s="190" t="s">
        <v>81</v>
      </c>
      <c r="F50" s="146">
        <v>9</v>
      </c>
      <c r="G50" s="183">
        <v>155</v>
      </c>
      <c r="H50" s="184">
        <f t="shared" si="5"/>
        <v>11.115245126635072</v>
      </c>
      <c r="I50" s="184">
        <f t="shared" si="1"/>
        <v>8.5717057568714825</v>
      </c>
      <c r="J50" s="188">
        <f t="shared" si="15"/>
        <v>1328.6143923150798</v>
      </c>
      <c r="K50" s="192">
        <f t="shared" si="16"/>
        <v>1722.8629946284361</v>
      </c>
      <c r="L50" s="191">
        <f t="shared" si="17"/>
        <v>-394.24860231335629</v>
      </c>
      <c r="M50" s="188">
        <f t="shared" si="7"/>
        <v>-32.374082226846049</v>
      </c>
      <c r="N50" s="189">
        <f t="shared" si="8"/>
        <v>-426.62268454020233</v>
      </c>
      <c r="O50" s="188">
        <v>0</v>
      </c>
      <c r="P50" s="188">
        <v>0</v>
      </c>
      <c r="Q50" s="188">
        <v>0</v>
      </c>
      <c r="R50" s="189">
        <f t="shared" si="9"/>
        <v>-426.62268454020233</v>
      </c>
    </row>
    <row r="51" spans="1:18" x14ac:dyDescent="0.25">
      <c r="A51" s="146">
        <v>8</v>
      </c>
      <c r="B51" s="181">
        <f t="shared" si="13"/>
        <v>45139</v>
      </c>
      <c r="C51" s="201">
        <f t="shared" si="14"/>
        <v>45174</v>
      </c>
      <c r="D51" s="201">
        <f t="shared" si="14"/>
        <v>45194</v>
      </c>
      <c r="E51" s="190" t="s">
        <v>81</v>
      </c>
      <c r="F51" s="146">
        <v>9</v>
      </c>
      <c r="G51" s="183">
        <v>159</v>
      </c>
      <c r="H51" s="184">
        <f t="shared" si="5"/>
        <v>11.115245126635072</v>
      </c>
      <c r="I51" s="184">
        <f t="shared" si="1"/>
        <v>8.5717057568714825</v>
      </c>
      <c r="J51" s="188">
        <f t="shared" si="15"/>
        <v>1362.9012153425658</v>
      </c>
      <c r="K51" s="192">
        <f t="shared" si="16"/>
        <v>1767.3239751349765</v>
      </c>
      <c r="L51" s="191">
        <f t="shared" si="17"/>
        <v>-404.42275979241072</v>
      </c>
      <c r="M51" s="188">
        <f t="shared" si="7"/>
        <v>-33.209542413345297</v>
      </c>
      <c r="N51" s="189">
        <f t="shared" si="8"/>
        <v>-437.63230220575599</v>
      </c>
      <c r="O51" s="188">
        <v>0</v>
      </c>
      <c r="P51" s="188">
        <v>0</v>
      </c>
      <c r="Q51" s="188">
        <v>0</v>
      </c>
      <c r="R51" s="189">
        <f t="shared" si="9"/>
        <v>-437.63230220575599</v>
      </c>
    </row>
    <row r="52" spans="1:18" x14ac:dyDescent="0.25">
      <c r="A52" s="146">
        <v>9</v>
      </c>
      <c r="B52" s="181">
        <f t="shared" si="13"/>
        <v>45170</v>
      </c>
      <c r="C52" s="201">
        <f t="shared" si="14"/>
        <v>45203</v>
      </c>
      <c r="D52" s="201">
        <f t="shared" si="14"/>
        <v>45223</v>
      </c>
      <c r="E52" s="190" t="s">
        <v>81</v>
      </c>
      <c r="F52" s="146">
        <v>9</v>
      </c>
      <c r="G52" s="183">
        <v>144</v>
      </c>
      <c r="H52" s="184">
        <f t="shared" si="5"/>
        <v>11.115245126635072</v>
      </c>
      <c r="I52" s="184">
        <f t="shared" si="1"/>
        <v>8.5717057568714825</v>
      </c>
      <c r="J52" s="188">
        <f t="shared" si="15"/>
        <v>1234.3256289894935</v>
      </c>
      <c r="K52" s="192">
        <f t="shared" si="16"/>
        <v>1600.5952982354504</v>
      </c>
      <c r="L52" s="191">
        <f t="shared" si="17"/>
        <v>-366.26966924595695</v>
      </c>
      <c r="M52" s="188">
        <f t="shared" si="7"/>
        <v>-30.076566713973101</v>
      </c>
      <c r="N52" s="189">
        <f t="shared" si="8"/>
        <v>-396.34623595993003</v>
      </c>
      <c r="O52" s="188">
        <v>0</v>
      </c>
      <c r="P52" s="188">
        <v>0</v>
      </c>
      <c r="Q52" s="188">
        <v>0</v>
      </c>
      <c r="R52" s="189">
        <f t="shared" si="9"/>
        <v>-396.34623595993003</v>
      </c>
    </row>
    <row r="53" spans="1:18" x14ac:dyDescent="0.25">
      <c r="A53" s="110">
        <v>10</v>
      </c>
      <c r="B53" s="181">
        <f t="shared" si="13"/>
        <v>45200</v>
      </c>
      <c r="C53" s="201">
        <f t="shared" si="14"/>
        <v>45233</v>
      </c>
      <c r="D53" s="201">
        <f t="shared" si="14"/>
        <v>45254</v>
      </c>
      <c r="E53" s="190" t="s">
        <v>81</v>
      </c>
      <c r="F53" s="146">
        <v>9</v>
      </c>
      <c r="G53" s="183">
        <v>117</v>
      </c>
      <c r="H53" s="184">
        <f t="shared" si="5"/>
        <v>11.115245126635072</v>
      </c>
      <c r="I53" s="184">
        <f t="shared" si="1"/>
        <v>8.5717057568714825</v>
      </c>
      <c r="J53" s="188">
        <f t="shared" si="15"/>
        <v>1002.8895735539635</v>
      </c>
      <c r="K53" s="192">
        <f t="shared" si="16"/>
        <v>1300.4836798163035</v>
      </c>
      <c r="L53" s="191">
        <f t="shared" si="17"/>
        <v>-297.59410626234001</v>
      </c>
      <c r="M53" s="188">
        <f t="shared" si="7"/>
        <v>-24.437210455103148</v>
      </c>
      <c r="N53" s="189">
        <f t="shared" si="8"/>
        <v>-322.03131671744313</v>
      </c>
      <c r="O53" s="188">
        <v>0</v>
      </c>
      <c r="P53" s="188">
        <v>0</v>
      </c>
      <c r="Q53" s="188">
        <v>0</v>
      </c>
      <c r="R53" s="189">
        <f t="shared" si="9"/>
        <v>-322.03131671744313</v>
      </c>
    </row>
    <row r="54" spans="1:18" x14ac:dyDescent="0.25">
      <c r="A54" s="146">
        <v>11</v>
      </c>
      <c r="B54" s="181">
        <f t="shared" si="13"/>
        <v>45231</v>
      </c>
      <c r="C54" s="201">
        <f t="shared" si="14"/>
        <v>45266</v>
      </c>
      <c r="D54" s="201">
        <f t="shared" si="14"/>
        <v>45285</v>
      </c>
      <c r="E54" s="190" t="s">
        <v>81</v>
      </c>
      <c r="F54" s="146">
        <v>9</v>
      </c>
      <c r="G54" s="183">
        <v>134</v>
      </c>
      <c r="H54" s="184">
        <f t="shared" si="5"/>
        <v>11.115245126635072</v>
      </c>
      <c r="I54" s="184">
        <f t="shared" si="1"/>
        <v>8.5717057568714825</v>
      </c>
      <c r="J54" s="188">
        <f t="shared" si="15"/>
        <v>1148.6085714207786</v>
      </c>
      <c r="K54" s="192">
        <f t="shared" si="16"/>
        <v>1489.4428469690997</v>
      </c>
      <c r="L54" s="191">
        <f t="shared" si="17"/>
        <v>-340.8342755483211</v>
      </c>
      <c r="M54" s="188">
        <f t="shared" si="7"/>
        <v>-27.987916247724971</v>
      </c>
      <c r="N54" s="189">
        <f t="shared" si="8"/>
        <v>-368.82219179604607</v>
      </c>
      <c r="O54" s="188">
        <v>0</v>
      </c>
      <c r="P54" s="188">
        <v>0</v>
      </c>
      <c r="Q54" s="188">
        <v>0</v>
      </c>
      <c r="R54" s="189">
        <f t="shared" si="9"/>
        <v>-368.82219179604607</v>
      </c>
    </row>
    <row r="55" spans="1:18" x14ac:dyDescent="0.25">
      <c r="A55" s="146">
        <v>12</v>
      </c>
      <c r="B55" s="181">
        <f t="shared" si="13"/>
        <v>45261</v>
      </c>
      <c r="C55" s="201">
        <f t="shared" si="14"/>
        <v>45294</v>
      </c>
      <c r="D55" s="201">
        <f t="shared" si="14"/>
        <v>45315</v>
      </c>
      <c r="E55" s="190" t="s">
        <v>81</v>
      </c>
      <c r="F55" s="146">
        <v>9</v>
      </c>
      <c r="G55" s="183">
        <v>145</v>
      </c>
      <c r="H55" s="193">
        <f t="shared" si="5"/>
        <v>11.115245126635072</v>
      </c>
      <c r="I55" s="193">
        <f t="shared" si="1"/>
        <v>8.5717057568714825</v>
      </c>
      <c r="J55" s="194">
        <f t="shared" si="15"/>
        <v>1242.897334746365</v>
      </c>
      <c r="K55" s="195">
        <f t="shared" si="16"/>
        <v>1611.7105433620854</v>
      </c>
      <c r="L55" s="196">
        <f t="shared" si="17"/>
        <v>-368.81320861572044</v>
      </c>
      <c r="M55" s="188">
        <f t="shared" si="7"/>
        <v>-30.285431760597916</v>
      </c>
      <c r="N55" s="189">
        <f t="shared" si="8"/>
        <v>-399.09864037631837</v>
      </c>
      <c r="O55" s="188">
        <v>0</v>
      </c>
      <c r="P55" s="188">
        <v>0</v>
      </c>
      <c r="Q55" s="188">
        <v>0</v>
      </c>
      <c r="R55" s="189">
        <f t="shared" si="9"/>
        <v>-399.09864037631837</v>
      </c>
    </row>
    <row r="56" spans="1:18" s="202" customFormat="1" x14ac:dyDescent="0.25">
      <c r="A56" s="110">
        <v>1</v>
      </c>
      <c r="B56" s="197">
        <f t="shared" si="4"/>
        <v>44927</v>
      </c>
      <c r="C56" s="198">
        <f t="shared" ref="C56:D67" si="18">+C32</f>
        <v>44960</v>
      </c>
      <c r="D56" s="198">
        <f t="shared" si="18"/>
        <v>44981</v>
      </c>
      <c r="E56" s="199" t="s">
        <v>14</v>
      </c>
      <c r="F56" s="200">
        <v>9</v>
      </c>
      <c r="G56" s="183">
        <v>828</v>
      </c>
      <c r="H56" s="184">
        <f t="shared" si="5"/>
        <v>11.115245126635072</v>
      </c>
      <c r="I56" s="184">
        <f t="shared" si="1"/>
        <v>8.5717057568714825</v>
      </c>
      <c r="J56" s="185">
        <f t="shared" si="2"/>
        <v>7097.3723666895876</v>
      </c>
      <c r="K56" s="186">
        <f t="shared" si="11"/>
        <v>9203.4229648538403</v>
      </c>
      <c r="L56" s="187">
        <f t="shared" si="12"/>
        <v>-2106.0505981642527</v>
      </c>
      <c r="M56" s="188">
        <f t="shared" si="7"/>
        <v>-172.94025860534535</v>
      </c>
      <c r="N56" s="189">
        <f t="shared" si="8"/>
        <v>-2278.9908567695979</v>
      </c>
      <c r="O56" s="188">
        <v>0</v>
      </c>
      <c r="P56" s="188">
        <v>0</v>
      </c>
      <c r="Q56" s="188">
        <v>0</v>
      </c>
      <c r="R56" s="189">
        <f t="shared" si="9"/>
        <v>-2278.9908567695979</v>
      </c>
    </row>
    <row r="57" spans="1:18" x14ac:dyDescent="0.25">
      <c r="A57" s="146">
        <v>2</v>
      </c>
      <c r="B57" s="181">
        <f t="shared" si="4"/>
        <v>44958</v>
      </c>
      <c r="C57" s="201">
        <f t="shared" si="18"/>
        <v>44988</v>
      </c>
      <c r="D57" s="201">
        <f t="shared" si="18"/>
        <v>45009</v>
      </c>
      <c r="E57" s="190" t="s">
        <v>14</v>
      </c>
      <c r="F57" s="146">
        <v>9</v>
      </c>
      <c r="G57" s="183">
        <v>786</v>
      </c>
      <c r="H57" s="184">
        <f t="shared" si="5"/>
        <v>11.115245126635072</v>
      </c>
      <c r="I57" s="184">
        <f t="shared" si="1"/>
        <v>8.5717057568714825</v>
      </c>
      <c r="J57" s="185">
        <f t="shared" si="2"/>
        <v>6737.3607249009856</v>
      </c>
      <c r="K57" s="186">
        <f t="shared" si="11"/>
        <v>8736.5826695351661</v>
      </c>
      <c r="L57" s="187">
        <f t="shared" si="12"/>
        <v>-1999.2219446341805</v>
      </c>
      <c r="M57" s="188">
        <f t="shared" si="7"/>
        <v>-164.16792664710317</v>
      </c>
      <c r="N57" s="189">
        <f t="shared" si="8"/>
        <v>-2163.3898712812838</v>
      </c>
      <c r="O57" s="188">
        <v>0</v>
      </c>
      <c r="P57" s="188">
        <v>0</v>
      </c>
      <c r="Q57" s="188">
        <v>0</v>
      </c>
      <c r="R57" s="189">
        <f t="shared" si="9"/>
        <v>-2163.3898712812838</v>
      </c>
    </row>
    <row r="58" spans="1:18" x14ac:dyDescent="0.25">
      <c r="A58" s="146">
        <v>3</v>
      </c>
      <c r="B58" s="181">
        <f t="shared" si="4"/>
        <v>44986</v>
      </c>
      <c r="C58" s="201">
        <f t="shared" si="18"/>
        <v>45021</v>
      </c>
      <c r="D58" s="201">
        <f t="shared" si="18"/>
        <v>45040</v>
      </c>
      <c r="E58" s="190" t="s">
        <v>14</v>
      </c>
      <c r="F58" s="146">
        <v>9</v>
      </c>
      <c r="G58" s="183">
        <v>702</v>
      </c>
      <c r="H58" s="184">
        <f t="shared" si="5"/>
        <v>11.115245126635072</v>
      </c>
      <c r="I58" s="184">
        <f t="shared" si="1"/>
        <v>8.5717057568714825</v>
      </c>
      <c r="J58" s="185">
        <f t="shared" si="2"/>
        <v>6017.3374413237807</v>
      </c>
      <c r="K58" s="186">
        <f t="shared" si="11"/>
        <v>7802.9020788978205</v>
      </c>
      <c r="L58" s="187">
        <f>+J58-K58</f>
        <v>-1785.5646375740398</v>
      </c>
      <c r="M58" s="188">
        <f t="shared" si="7"/>
        <v>-146.62326273061888</v>
      </c>
      <c r="N58" s="189">
        <f t="shared" si="8"/>
        <v>-1932.1879003046588</v>
      </c>
      <c r="O58" s="188">
        <v>0</v>
      </c>
      <c r="P58" s="188">
        <v>0</v>
      </c>
      <c r="Q58" s="188">
        <v>0</v>
      </c>
      <c r="R58" s="189">
        <f t="shared" si="9"/>
        <v>-1932.1879003046588</v>
      </c>
    </row>
    <row r="59" spans="1:18" x14ac:dyDescent="0.25">
      <c r="A59" s="110">
        <v>4</v>
      </c>
      <c r="B59" s="181">
        <f t="shared" si="4"/>
        <v>45017</v>
      </c>
      <c r="C59" s="201">
        <f t="shared" si="18"/>
        <v>45049</v>
      </c>
      <c r="D59" s="201">
        <f t="shared" si="18"/>
        <v>45070</v>
      </c>
      <c r="E59" s="190" t="s">
        <v>14</v>
      </c>
      <c r="F59" s="146">
        <v>9</v>
      </c>
      <c r="G59" s="183">
        <v>519</v>
      </c>
      <c r="H59" s="184">
        <f t="shared" si="5"/>
        <v>11.115245126635072</v>
      </c>
      <c r="I59" s="184">
        <f t="shared" si="1"/>
        <v>8.5717057568714825</v>
      </c>
      <c r="J59" s="185">
        <f t="shared" si="2"/>
        <v>4448.7152878162997</v>
      </c>
      <c r="K59" s="186">
        <f t="shared" si="11"/>
        <v>5768.812220723602</v>
      </c>
      <c r="L59" s="187">
        <f t="shared" ref="L59:L81" si="19">+J59-K59</f>
        <v>-1320.0969329073023</v>
      </c>
      <c r="M59" s="188">
        <f t="shared" si="7"/>
        <v>-108.40095919827804</v>
      </c>
      <c r="N59" s="189">
        <f t="shared" si="8"/>
        <v>-1428.4978921055804</v>
      </c>
      <c r="O59" s="188">
        <v>0</v>
      </c>
      <c r="P59" s="188">
        <v>0</v>
      </c>
      <c r="Q59" s="188">
        <v>0</v>
      </c>
      <c r="R59" s="189">
        <f t="shared" si="9"/>
        <v>-1428.4978921055804</v>
      </c>
    </row>
    <row r="60" spans="1:18" x14ac:dyDescent="0.25">
      <c r="A60" s="146">
        <v>5</v>
      </c>
      <c r="B60" s="181">
        <f t="shared" si="4"/>
        <v>45047</v>
      </c>
      <c r="C60" s="201">
        <f t="shared" si="18"/>
        <v>45082</v>
      </c>
      <c r="D60" s="201">
        <f t="shared" si="18"/>
        <v>45103</v>
      </c>
      <c r="E60" s="52" t="s">
        <v>14</v>
      </c>
      <c r="F60" s="146">
        <v>9</v>
      </c>
      <c r="G60" s="183">
        <v>720</v>
      </c>
      <c r="H60" s="184">
        <f t="shared" si="5"/>
        <v>11.115245126635072</v>
      </c>
      <c r="I60" s="184">
        <f t="shared" si="1"/>
        <v>8.5717057568714825</v>
      </c>
      <c r="J60" s="185">
        <f t="shared" si="2"/>
        <v>6171.6281449474673</v>
      </c>
      <c r="K60" s="186">
        <f t="shared" si="11"/>
        <v>8002.9764911772518</v>
      </c>
      <c r="L60" s="187">
        <f t="shared" si="19"/>
        <v>-1831.3483462297845</v>
      </c>
      <c r="M60" s="188">
        <f t="shared" si="7"/>
        <v>-150.38283356986551</v>
      </c>
      <c r="N60" s="189">
        <f t="shared" si="8"/>
        <v>-1981.7311797996499</v>
      </c>
      <c r="O60" s="188">
        <v>0</v>
      </c>
      <c r="P60" s="188">
        <v>0</v>
      </c>
      <c r="Q60" s="188">
        <v>0</v>
      </c>
      <c r="R60" s="189">
        <f t="shared" si="9"/>
        <v>-1981.7311797996499</v>
      </c>
    </row>
    <row r="61" spans="1:18" x14ac:dyDescent="0.25">
      <c r="A61" s="146">
        <v>6</v>
      </c>
      <c r="B61" s="181">
        <f t="shared" si="4"/>
        <v>45078</v>
      </c>
      <c r="C61" s="201">
        <f t="shared" si="18"/>
        <v>45112</v>
      </c>
      <c r="D61" s="201">
        <f t="shared" si="18"/>
        <v>45131</v>
      </c>
      <c r="E61" s="52" t="s">
        <v>14</v>
      </c>
      <c r="F61" s="146">
        <v>9</v>
      </c>
      <c r="G61" s="183">
        <v>975</v>
      </c>
      <c r="H61" s="184">
        <f t="shared" si="5"/>
        <v>11.115245126635072</v>
      </c>
      <c r="I61" s="184">
        <f t="shared" si="1"/>
        <v>8.5717057568714825</v>
      </c>
      <c r="J61" s="185">
        <f t="shared" si="2"/>
        <v>8357.4131129496946</v>
      </c>
      <c r="K61" s="186">
        <f t="shared" si="11"/>
        <v>10837.363998469194</v>
      </c>
      <c r="L61" s="191">
        <f t="shared" si="19"/>
        <v>-2479.9508855194999</v>
      </c>
      <c r="M61" s="188">
        <f t="shared" si="7"/>
        <v>-203.6434204591929</v>
      </c>
      <c r="N61" s="189">
        <f t="shared" si="8"/>
        <v>-2683.5943059786928</v>
      </c>
      <c r="O61" s="188">
        <v>0</v>
      </c>
      <c r="P61" s="188">
        <v>0</v>
      </c>
      <c r="Q61" s="188">
        <v>0</v>
      </c>
      <c r="R61" s="189">
        <f t="shared" si="9"/>
        <v>-2683.5943059786928</v>
      </c>
    </row>
    <row r="62" spans="1:18" x14ac:dyDescent="0.25">
      <c r="A62" s="110">
        <v>7</v>
      </c>
      <c r="B62" s="181">
        <f t="shared" si="4"/>
        <v>45108</v>
      </c>
      <c r="C62" s="201">
        <f t="shared" si="18"/>
        <v>45141</v>
      </c>
      <c r="D62" s="201">
        <f t="shared" si="18"/>
        <v>45162</v>
      </c>
      <c r="E62" s="52" t="s">
        <v>14</v>
      </c>
      <c r="F62" s="146">
        <v>9</v>
      </c>
      <c r="G62" s="183">
        <v>924</v>
      </c>
      <c r="H62" s="184">
        <f t="shared" si="5"/>
        <v>11.115245126635072</v>
      </c>
      <c r="I62" s="184">
        <f t="shared" si="1"/>
        <v>8.5717057568714825</v>
      </c>
      <c r="J62" s="185">
        <f t="shared" si="2"/>
        <v>7920.2561193492502</v>
      </c>
      <c r="K62" s="192">
        <f t="shared" si="11"/>
        <v>10270.486497010806</v>
      </c>
      <c r="L62" s="191">
        <f t="shared" si="19"/>
        <v>-2350.2303776615563</v>
      </c>
      <c r="M62" s="188">
        <f t="shared" si="7"/>
        <v>-192.9913030813274</v>
      </c>
      <c r="N62" s="189">
        <f t="shared" si="8"/>
        <v>-2543.2216807428836</v>
      </c>
      <c r="O62" s="188">
        <v>0</v>
      </c>
      <c r="P62" s="188">
        <v>0</v>
      </c>
      <c r="Q62" s="188">
        <v>0</v>
      </c>
      <c r="R62" s="189">
        <f t="shared" si="9"/>
        <v>-2543.2216807428836</v>
      </c>
    </row>
    <row r="63" spans="1:18" x14ac:dyDescent="0.25">
      <c r="A63" s="146">
        <v>8</v>
      </c>
      <c r="B63" s="181">
        <f t="shared" si="4"/>
        <v>45139</v>
      </c>
      <c r="C63" s="201">
        <f t="shared" si="18"/>
        <v>45174</v>
      </c>
      <c r="D63" s="201">
        <f t="shared" si="18"/>
        <v>45194</v>
      </c>
      <c r="E63" s="52" t="s">
        <v>14</v>
      </c>
      <c r="F63" s="146">
        <v>9</v>
      </c>
      <c r="G63" s="183">
        <v>1053</v>
      </c>
      <c r="H63" s="184">
        <f t="shared" si="5"/>
        <v>11.115245126635072</v>
      </c>
      <c r="I63" s="184">
        <f t="shared" si="1"/>
        <v>8.5717057568714825</v>
      </c>
      <c r="J63" s="185">
        <f t="shared" si="2"/>
        <v>9026.0061619856715</v>
      </c>
      <c r="K63" s="192">
        <f t="shared" si="11"/>
        <v>11704.353118346731</v>
      </c>
      <c r="L63" s="191">
        <f t="shared" si="19"/>
        <v>-2678.3469563610597</v>
      </c>
      <c r="M63" s="188">
        <f t="shared" si="7"/>
        <v>-219.93489409592831</v>
      </c>
      <c r="N63" s="189">
        <f t="shared" si="8"/>
        <v>-2898.2818504569882</v>
      </c>
      <c r="O63" s="188">
        <v>0</v>
      </c>
      <c r="P63" s="188">
        <v>0</v>
      </c>
      <c r="Q63" s="188">
        <v>0</v>
      </c>
      <c r="R63" s="189">
        <f t="shared" si="9"/>
        <v>-2898.2818504569882</v>
      </c>
    </row>
    <row r="64" spans="1:18" x14ac:dyDescent="0.25">
      <c r="A64" s="146">
        <v>9</v>
      </c>
      <c r="B64" s="181">
        <f t="shared" si="4"/>
        <v>45170</v>
      </c>
      <c r="C64" s="201">
        <f t="shared" si="18"/>
        <v>45203</v>
      </c>
      <c r="D64" s="201">
        <f t="shared" si="18"/>
        <v>45223</v>
      </c>
      <c r="E64" s="52" t="s">
        <v>14</v>
      </c>
      <c r="F64" s="146">
        <v>9</v>
      </c>
      <c r="G64" s="183">
        <v>905</v>
      </c>
      <c r="H64" s="184">
        <f t="shared" si="5"/>
        <v>11.115245126635072</v>
      </c>
      <c r="I64" s="184">
        <f t="shared" ref="I64:I107" si="20">$J$3</f>
        <v>8.5717057568714825</v>
      </c>
      <c r="J64" s="185">
        <f t="shared" si="2"/>
        <v>7757.3937099686918</v>
      </c>
      <c r="K64" s="192">
        <f t="shared" si="11"/>
        <v>10059.29683960474</v>
      </c>
      <c r="L64" s="191">
        <f t="shared" si="19"/>
        <v>-2301.9031296360481</v>
      </c>
      <c r="M64" s="188">
        <f t="shared" si="7"/>
        <v>-189.02286719545594</v>
      </c>
      <c r="N64" s="189">
        <f t="shared" si="8"/>
        <v>-2490.9259968315041</v>
      </c>
      <c r="O64" s="188">
        <v>0</v>
      </c>
      <c r="P64" s="188">
        <v>0</v>
      </c>
      <c r="Q64" s="188">
        <v>0</v>
      </c>
      <c r="R64" s="189">
        <f t="shared" si="9"/>
        <v>-2490.9259968315041</v>
      </c>
    </row>
    <row r="65" spans="1:18" x14ac:dyDescent="0.25">
      <c r="A65" s="110">
        <v>10</v>
      </c>
      <c r="B65" s="181">
        <f t="shared" si="4"/>
        <v>45200</v>
      </c>
      <c r="C65" s="201">
        <f t="shared" si="18"/>
        <v>45233</v>
      </c>
      <c r="D65" s="201">
        <f t="shared" si="18"/>
        <v>45254</v>
      </c>
      <c r="E65" s="52" t="s">
        <v>14</v>
      </c>
      <c r="F65" s="146">
        <v>9</v>
      </c>
      <c r="G65" s="183">
        <v>694</v>
      </c>
      <c r="H65" s="184">
        <f t="shared" si="5"/>
        <v>11.115245126635072</v>
      </c>
      <c r="I65" s="184">
        <f t="shared" si="20"/>
        <v>8.5717057568714825</v>
      </c>
      <c r="J65" s="185">
        <f t="shared" si="2"/>
        <v>5948.7637952688092</v>
      </c>
      <c r="K65" s="192">
        <f t="shared" si="11"/>
        <v>7713.9801178847401</v>
      </c>
      <c r="L65" s="191">
        <f t="shared" si="19"/>
        <v>-1765.2163226159309</v>
      </c>
      <c r="M65" s="188">
        <f t="shared" si="7"/>
        <v>-144.95234235762038</v>
      </c>
      <c r="N65" s="189">
        <f t="shared" si="8"/>
        <v>-1910.1686649735514</v>
      </c>
      <c r="O65" s="188">
        <v>0</v>
      </c>
      <c r="P65" s="188">
        <v>0</v>
      </c>
      <c r="Q65" s="188">
        <v>0</v>
      </c>
      <c r="R65" s="189">
        <f t="shared" si="9"/>
        <v>-1910.1686649735514</v>
      </c>
    </row>
    <row r="66" spans="1:18" x14ac:dyDescent="0.25">
      <c r="A66" s="146">
        <v>11</v>
      </c>
      <c r="B66" s="181">
        <f t="shared" si="4"/>
        <v>45231</v>
      </c>
      <c r="C66" s="201">
        <f t="shared" si="18"/>
        <v>45266</v>
      </c>
      <c r="D66" s="201">
        <f t="shared" si="18"/>
        <v>45285</v>
      </c>
      <c r="E66" s="52" t="s">
        <v>14</v>
      </c>
      <c r="F66" s="146">
        <v>9</v>
      </c>
      <c r="G66" s="183">
        <v>736</v>
      </c>
      <c r="H66" s="184">
        <f t="shared" si="5"/>
        <v>11.115245126635072</v>
      </c>
      <c r="I66" s="184">
        <f t="shared" si="20"/>
        <v>8.5717057568714825</v>
      </c>
      <c r="J66" s="185">
        <f t="shared" si="2"/>
        <v>6308.7754370574112</v>
      </c>
      <c r="K66" s="192">
        <f t="shared" si="11"/>
        <v>8180.8204132034134</v>
      </c>
      <c r="L66" s="191">
        <f t="shared" si="19"/>
        <v>-1872.0449761460022</v>
      </c>
      <c r="M66" s="188">
        <f t="shared" si="7"/>
        <v>-153.72467431586253</v>
      </c>
      <c r="N66" s="189">
        <f t="shared" si="8"/>
        <v>-2025.7696504618648</v>
      </c>
      <c r="O66" s="188">
        <v>0</v>
      </c>
      <c r="P66" s="188">
        <v>0</v>
      </c>
      <c r="Q66" s="188">
        <v>0</v>
      </c>
      <c r="R66" s="189">
        <f t="shared" si="9"/>
        <v>-2025.7696504618648</v>
      </c>
    </row>
    <row r="67" spans="1:18" s="205" customFormat="1" x14ac:dyDescent="0.25">
      <c r="A67" s="146">
        <v>12</v>
      </c>
      <c r="B67" s="203">
        <f t="shared" si="4"/>
        <v>45261</v>
      </c>
      <c r="C67" s="201">
        <f t="shared" si="18"/>
        <v>45294</v>
      </c>
      <c r="D67" s="201">
        <f t="shared" si="18"/>
        <v>45315</v>
      </c>
      <c r="E67" s="204" t="s">
        <v>14</v>
      </c>
      <c r="F67" s="157">
        <v>9</v>
      </c>
      <c r="G67" s="183">
        <v>713</v>
      </c>
      <c r="H67" s="193">
        <f t="shared" si="5"/>
        <v>11.115245126635072</v>
      </c>
      <c r="I67" s="193">
        <f t="shared" si="20"/>
        <v>8.5717057568714825</v>
      </c>
      <c r="J67" s="194">
        <f t="shared" si="2"/>
        <v>6111.6262046493666</v>
      </c>
      <c r="K67" s="195">
        <f t="shared" si="11"/>
        <v>7925.1697752908067</v>
      </c>
      <c r="L67" s="196">
        <f t="shared" si="19"/>
        <v>-1813.5435706414401</v>
      </c>
      <c r="M67" s="188">
        <f t="shared" si="7"/>
        <v>-148.92077824349181</v>
      </c>
      <c r="N67" s="189">
        <f t="shared" si="8"/>
        <v>-1962.464348884932</v>
      </c>
      <c r="O67" s="188">
        <v>0</v>
      </c>
      <c r="P67" s="188">
        <v>0</v>
      </c>
      <c r="Q67" s="188">
        <v>0</v>
      </c>
      <c r="R67" s="189">
        <f t="shared" si="9"/>
        <v>-1962.464348884932</v>
      </c>
    </row>
    <row r="68" spans="1:18" x14ac:dyDescent="0.25">
      <c r="A68" s="110">
        <v>1</v>
      </c>
      <c r="B68" s="181">
        <f t="shared" si="4"/>
        <v>44927</v>
      </c>
      <c r="C68" s="198">
        <f t="shared" ref="C68:D79" si="21">+C56</f>
        <v>44960</v>
      </c>
      <c r="D68" s="198">
        <f t="shared" si="21"/>
        <v>44981</v>
      </c>
      <c r="E68" s="182" t="s">
        <v>83</v>
      </c>
      <c r="F68" s="110">
        <v>9</v>
      </c>
      <c r="G68" s="183">
        <v>44</v>
      </c>
      <c r="H68" s="184">
        <f t="shared" si="5"/>
        <v>11.115245126635072</v>
      </c>
      <c r="I68" s="184">
        <f t="shared" si="20"/>
        <v>8.5717057568714825</v>
      </c>
      <c r="J68" s="185">
        <f t="shared" si="2"/>
        <v>377.15505330234521</v>
      </c>
      <c r="K68" s="186">
        <f t="shared" si="11"/>
        <v>489.07078557194319</v>
      </c>
      <c r="L68" s="187">
        <f t="shared" si="19"/>
        <v>-111.91573226959798</v>
      </c>
      <c r="M68" s="188">
        <f t="shared" si="7"/>
        <v>-9.1900620514917808</v>
      </c>
      <c r="N68" s="189">
        <f t="shared" si="8"/>
        <v>-121.10579432108976</v>
      </c>
      <c r="O68" s="188">
        <v>0</v>
      </c>
      <c r="P68" s="188">
        <v>0</v>
      </c>
      <c r="Q68" s="188">
        <v>0</v>
      </c>
      <c r="R68" s="189">
        <f t="shared" si="9"/>
        <v>-121.10579432108976</v>
      </c>
    </row>
    <row r="69" spans="1:18" x14ac:dyDescent="0.25">
      <c r="A69" s="146">
        <v>2</v>
      </c>
      <c r="B69" s="181">
        <f t="shared" si="4"/>
        <v>44958</v>
      </c>
      <c r="C69" s="201">
        <f t="shared" si="21"/>
        <v>44988</v>
      </c>
      <c r="D69" s="201">
        <f t="shared" si="21"/>
        <v>45009</v>
      </c>
      <c r="E69" s="190" t="s">
        <v>83</v>
      </c>
      <c r="F69" s="146">
        <v>9</v>
      </c>
      <c r="G69" s="183">
        <v>42</v>
      </c>
      <c r="H69" s="184">
        <f t="shared" si="5"/>
        <v>11.115245126635072</v>
      </c>
      <c r="I69" s="184">
        <f t="shared" si="20"/>
        <v>8.5717057568714825</v>
      </c>
      <c r="J69" s="185">
        <f t="shared" si="2"/>
        <v>360.01164178860228</v>
      </c>
      <c r="K69" s="186">
        <f t="shared" si="11"/>
        <v>466.84029531867304</v>
      </c>
      <c r="L69" s="187">
        <f t="shared" si="19"/>
        <v>-106.82865353007077</v>
      </c>
      <c r="M69" s="188">
        <f t="shared" si="7"/>
        <v>-8.7723319582421553</v>
      </c>
      <c r="N69" s="189">
        <f t="shared" si="8"/>
        <v>-115.60098548831292</v>
      </c>
      <c r="O69" s="188">
        <v>0</v>
      </c>
      <c r="P69" s="188">
        <v>0</v>
      </c>
      <c r="Q69" s="188">
        <v>0</v>
      </c>
      <c r="R69" s="189">
        <f t="shared" si="9"/>
        <v>-115.60098548831292</v>
      </c>
    </row>
    <row r="70" spans="1:18" x14ac:dyDescent="0.25">
      <c r="A70" s="146">
        <v>3</v>
      </c>
      <c r="B70" s="181">
        <f t="shared" si="4"/>
        <v>44986</v>
      </c>
      <c r="C70" s="201">
        <f t="shared" si="21"/>
        <v>45021</v>
      </c>
      <c r="D70" s="201">
        <f t="shared" si="21"/>
        <v>45040</v>
      </c>
      <c r="E70" s="190" t="s">
        <v>83</v>
      </c>
      <c r="F70" s="146">
        <v>9</v>
      </c>
      <c r="G70" s="183">
        <v>37</v>
      </c>
      <c r="H70" s="184">
        <f t="shared" si="5"/>
        <v>11.115245126635072</v>
      </c>
      <c r="I70" s="184">
        <f t="shared" si="20"/>
        <v>8.5717057568714825</v>
      </c>
      <c r="J70" s="185">
        <f t="shared" si="2"/>
        <v>317.15311300424486</v>
      </c>
      <c r="K70" s="186">
        <f t="shared" si="11"/>
        <v>411.26406968549765</v>
      </c>
      <c r="L70" s="187">
        <f>+J70-K70</f>
        <v>-94.110956681252787</v>
      </c>
      <c r="M70" s="188">
        <f t="shared" si="7"/>
        <v>-7.7280067251180879</v>
      </c>
      <c r="N70" s="189">
        <f t="shared" si="8"/>
        <v>-101.83896340637088</v>
      </c>
      <c r="O70" s="188">
        <v>0</v>
      </c>
      <c r="P70" s="188">
        <v>0</v>
      </c>
      <c r="Q70" s="188">
        <v>0</v>
      </c>
      <c r="R70" s="189">
        <f t="shared" si="9"/>
        <v>-101.83896340637088</v>
      </c>
    </row>
    <row r="71" spans="1:18" x14ac:dyDescent="0.25">
      <c r="A71" s="110">
        <v>4</v>
      </c>
      <c r="B71" s="181">
        <f t="shared" si="4"/>
        <v>45017</v>
      </c>
      <c r="C71" s="201">
        <f t="shared" si="21"/>
        <v>45049</v>
      </c>
      <c r="D71" s="201">
        <f t="shared" si="21"/>
        <v>45070</v>
      </c>
      <c r="E71" s="190" t="s">
        <v>83</v>
      </c>
      <c r="F71" s="146">
        <v>9</v>
      </c>
      <c r="G71" s="183">
        <v>27</v>
      </c>
      <c r="H71" s="184">
        <f t="shared" si="5"/>
        <v>11.115245126635072</v>
      </c>
      <c r="I71" s="184">
        <f t="shared" si="20"/>
        <v>8.5717057568714825</v>
      </c>
      <c r="J71" s="185">
        <f t="shared" si="2"/>
        <v>231.43605543553002</v>
      </c>
      <c r="K71" s="186">
        <f t="shared" si="11"/>
        <v>300.11161841914696</v>
      </c>
      <c r="L71" s="187">
        <f t="shared" ref="L71:L79" si="22">+J71-K71</f>
        <v>-68.675562983616942</v>
      </c>
      <c r="M71" s="188">
        <f t="shared" si="7"/>
        <v>-5.6393562588699568</v>
      </c>
      <c r="N71" s="189">
        <f t="shared" si="8"/>
        <v>-74.314919242486894</v>
      </c>
      <c r="O71" s="188">
        <v>0</v>
      </c>
      <c r="P71" s="188">
        <v>0</v>
      </c>
      <c r="Q71" s="188">
        <v>0</v>
      </c>
      <c r="R71" s="189">
        <f t="shared" si="9"/>
        <v>-74.314919242486894</v>
      </c>
    </row>
    <row r="72" spans="1:18" x14ac:dyDescent="0.25">
      <c r="A72" s="146">
        <v>5</v>
      </c>
      <c r="B72" s="181">
        <f t="shared" si="4"/>
        <v>45047</v>
      </c>
      <c r="C72" s="201">
        <f t="shared" si="21"/>
        <v>45082</v>
      </c>
      <c r="D72" s="201">
        <f t="shared" si="21"/>
        <v>45103</v>
      </c>
      <c r="E72" s="190" t="s">
        <v>83</v>
      </c>
      <c r="F72" s="146">
        <v>9</v>
      </c>
      <c r="G72" s="183">
        <v>42</v>
      </c>
      <c r="H72" s="184">
        <f t="shared" si="5"/>
        <v>11.115245126635072</v>
      </c>
      <c r="I72" s="184">
        <f t="shared" si="20"/>
        <v>8.5717057568714825</v>
      </c>
      <c r="J72" s="185">
        <f t="shared" si="2"/>
        <v>360.01164178860228</v>
      </c>
      <c r="K72" s="186">
        <f t="shared" si="11"/>
        <v>466.84029531867304</v>
      </c>
      <c r="L72" s="187">
        <f t="shared" si="22"/>
        <v>-106.82865353007077</v>
      </c>
      <c r="M72" s="188">
        <f t="shared" si="7"/>
        <v>-8.7723319582421553</v>
      </c>
      <c r="N72" s="189">
        <f t="shared" si="8"/>
        <v>-115.60098548831292</v>
      </c>
      <c r="O72" s="188">
        <v>0</v>
      </c>
      <c r="P72" s="188">
        <v>0</v>
      </c>
      <c r="Q72" s="188">
        <v>0</v>
      </c>
      <c r="R72" s="189">
        <f t="shared" si="9"/>
        <v>-115.60098548831292</v>
      </c>
    </row>
    <row r="73" spans="1:18" x14ac:dyDescent="0.25">
      <c r="A73" s="146">
        <v>6</v>
      </c>
      <c r="B73" s="181">
        <f t="shared" si="4"/>
        <v>45078</v>
      </c>
      <c r="C73" s="201">
        <f t="shared" si="21"/>
        <v>45112</v>
      </c>
      <c r="D73" s="201">
        <f t="shared" si="21"/>
        <v>45131</v>
      </c>
      <c r="E73" s="190" t="s">
        <v>83</v>
      </c>
      <c r="F73" s="146">
        <v>9</v>
      </c>
      <c r="G73" s="183">
        <v>56</v>
      </c>
      <c r="H73" s="184">
        <f t="shared" si="5"/>
        <v>11.115245126635072</v>
      </c>
      <c r="I73" s="184">
        <f t="shared" si="20"/>
        <v>8.5717057568714825</v>
      </c>
      <c r="J73" s="185">
        <f t="shared" si="2"/>
        <v>480.01552238480303</v>
      </c>
      <c r="K73" s="186">
        <f t="shared" si="11"/>
        <v>622.45372709156402</v>
      </c>
      <c r="L73" s="191">
        <f t="shared" si="22"/>
        <v>-142.43820470676098</v>
      </c>
      <c r="M73" s="188">
        <f t="shared" si="7"/>
        <v>-11.696442610989539</v>
      </c>
      <c r="N73" s="189">
        <f t="shared" si="8"/>
        <v>-154.13464731775053</v>
      </c>
      <c r="O73" s="188">
        <v>0</v>
      </c>
      <c r="P73" s="188">
        <v>0</v>
      </c>
      <c r="Q73" s="188">
        <v>0</v>
      </c>
      <c r="R73" s="189">
        <f t="shared" si="9"/>
        <v>-154.13464731775053</v>
      </c>
    </row>
    <row r="74" spans="1:18" x14ac:dyDescent="0.25">
      <c r="A74" s="110">
        <v>7</v>
      </c>
      <c r="B74" s="181">
        <f t="shared" si="4"/>
        <v>45108</v>
      </c>
      <c r="C74" s="201">
        <f t="shared" si="21"/>
        <v>45141</v>
      </c>
      <c r="D74" s="201">
        <f t="shared" si="21"/>
        <v>45162</v>
      </c>
      <c r="E74" s="190" t="s">
        <v>83</v>
      </c>
      <c r="F74" s="146">
        <v>9</v>
      </c>
      <c r="G74" s="183">
        <v>54</v>
      </c>
      <c r="H74" s="184">
        <f t="shared" si="5"/>
        <v>11.115245126635072</v>
      </c>
      <c r="I74" s="184">
        <f t="shared" si="20"/>
        <v>8.5717057568714825</v>
      </c>
      <c r="J74" s="185">
        <f t="shared" si="2"/>
        <v>462.87211087106004</v>
      </c>
      <c r="K74" s="192">
        <f t="shared" si="11"/>
        <v>600.22323683829393</v>
      </c>
      <c r="L74" s="191">
        <f t="shared" si="22"/>
        <v>-137.35112596723388</v>
      </c>
      <c r="M74" s="188">
        <f t="shared" si="7"/>
        <v>-11.278712517739914</v>
      </c>
      <c r="N74" s="189">
        <f t="shared" si="8"/>
        <v>-148.62983848497379</v>
      </c>
      <c r="O74" s="188">
        <v>0</v>
      </c>
      <c r="P74" s="188">
        <v>0</v>
      </c>
      <c r="Q74" s="188">
        <v>0</v>
      </c>
      <c r="R74" s="189">
        <f t="shared" si="9"/>
        <v>-148.62983848497379</v>
      </c>
    </row>
    <row r="75" spans="1:18" x14ac:dyDescent="0.25">
      <c r="A75" s="146">
        <v>8</v>
      </c>
      <c r="B75" s="181">
        <f t="shared" si="4"/>
        <v>45139</v>
      </c>
      <c r="C75" s="201">
        <f t="shared" si="21"/>
        <v>45174</v>
      </c>
      <c r="D75" s="201">
        <f t="shared" si="21"/>
        <v>45194</v>
      </c>
      <c r="E75" s="190" t="s">
        <v>83</v>
      </c>
      <c r="F75" s="146">
        <v>9</v>
      </c>
      <c r="G75" s="183">
        <v>59</v>
      </c>
      <c r="H75" s="184">
        <f t="shared" si="5"/>
        <v>11.115245126635072</v>
      </c>
      <c r="I75" s="184">
        <f t="shared" si="20"/>
        <v>8.5717057568714825</v>
      </c>
      <c r="J75" s="185">
        <f t="shared" si="2"/>
        <v>505.73063965541746</v>
      </c>
      <c r="K75" s="192">
        <f t="shared" si="11"/>
        <v>655.79946247146927</v>
      </c>
      <c r="L75" s="191">
        <f t="shared" si="22"/>
        <v>-150.06882281605181</v>
      </c>
      <c r="M75" s="188">
        <f t="shared" si="7"/>
        <v>-12.323037750863978</v>
      </c>
      <c r="N75" s="189">
        <f t="shared" si="8"/>
        <v>-162.3918605669158</v>
      </c>
      <c r="O75" s="188">
        <v>0</v>
      </c>
      <c r="P75" s="188">
        <v>0</v>
      </c>
      <c r="Q75" s="188">
        <v>0</v>
      </c>
      <c r="R75" s="189">
        <f t="shared" si="9"/>
        <v>-162.3918605669158</v>
      </c>
    </row>
    <row r="76" spans="1:18" x14ac:dyDescent="0.25">
      <c r="A76" s="146">
        <v>9</v>
      </c>
      <c r="B76" s="181">
        <f t="shared" si="4"/>
        <v>45170</v>
      </c>
      <c r="C76" s="201">
        <f t="shared" si="21"/>
        <v>45203</v>
      </c>
      <c r="D76" s="201">
        <f t="shared" si="21"/>
        <v>45223</v>
      </c>
      <c r="E76" s="190" t="s">
        <v>83</v>
      </c>
      <c r="F76" s="146">
        <v>9</v>
      </c>
      <c r="G76" s="183">
        <v>54</v>
      </c>
      <c r="H76" s="184">
        <f t="shared" si="5"/>
        <v>11.115245126635072</v>
      </c>
      <c r="I76" s="184">
        <f t="shared" si="20"/>
        <v>8.5717057568714825</v>
      </c>
      <c r="J76" s="185">
        <f t="shared" si="2"/>
        <v>462.87211087106004</v>
      </c>
      <c r="K76" s="192">
        <f t="shared" si="11"/>
        <v>600.22323683829393</v>
      </c>
      <c r="L76" s="191">
        <f t="shared" si="22"/>
        <v>-137.35112596723388</v>
      </c>
      <c r="M76" s="188">
        <f t="shared" si="7"/>
        <v>-11.278712517739914</v>
      </c>
      <c r="N76" s="189">
        <f t="shared" si="8"/>
        <v>-148.62983848497379</v>
      </c>
      <c r="O76" s="188">
        <v>0</v>
      </c>
      <c r="P76" s="188">
        <v>0</v>
      </c>
      <c r="Q76" s="188">
        <v>0</v>
      </c>
      <c r="R76" s="189">
        <f t="shared" si="9"/>
        <v>-148.62983848497379</v>
      </c>
    </row>
    <row r="77" spans="1:18" x14ac:dyDescent="0.25">
      <c r="A77" s="110">
        <v>10</v>
      </c>
      <c r="B77" s="181">
        <f t="shared" si="4"/>
        <v>45200</v>
      </c>
      <c r="C77" s="201">
        <f t="shared" si="21"/>
        <v>45233</v>
      </c>
      <c r="D77" s="201">
        <f t="shared" si="21"/>
        <v>45254</v>
      </c>
      <c r="E77" s="190" t="s">
        <v>83</v>
      </c>
      <c r="F77" s="146">
        <v>9</v>
      </c>
      <c r="G77" s="183">
        <v>37</v>
      </c>
      <c r="H77" s="184">
        <f t="shared" si="5"/>
        <v>11.115245126635072</v>
      </c>
      <c r="I77" s="184">
        <f t="shared" si="20"/>
        <v>8.5717057568714825</v>
      </c>
      <c r="J77" s="185">
        <f t="shared" si="2"/>
        <v>317.15311300424486</v>
      </c>
      <c r="K77" s="192">
        <f t="shared" si="11"/>
        <v>411.26406968549765</v>
      </c>
      <c r="L77" s="191">
        <f t="shared" si="22"/>
        <v>-94.110956681252787</v>
      </c>
      <c r="M77" s="188">
        <f t="shared" si="7"/>
        <v>-7.7280067251180879</v>
      </c>
      <c r="N77" s="189">
        <f t="shared" si="8"/>
        <v>-101.83896340637088</v>
      </c>
      <c r="O77" s="188">
        <v>0</v>
      </c>
      <c r="P77" s="188">
        <v>0</v>
      </c>
      <c r="Q77" s="188">
        <v>0</v>
      </c>
      <c r="R77" s="189">
        <f t="shared" si="9"/>
        <v>-101.83896340637088</v>
      </c>
    </row>
    <row r="78" spans="1:18" x14ac:dyDescent="0.25">
      <c r="A78" s="146">
        <v>11</v>
      </c>
      <c r="B78" s="181">
        <f t="shared" si="4"/>
        <v>45231</v>
      </c>
      <c r="C78" s="201">
        <f t="shared" si="21"/>
        <v>45266</v>
      </c>
      <c r="D78" s="201">
        <f t="shared" si="21"/>
        <v>45285</v>
      </c>
      <c r="E78" s="190" t="s">
        <v>83</v>
      </c>
      <c r="F78" s="146">
        <v>9</v>
      </c>
      <c r="G78" s="183">
        <v>38</v>
      </c>
      <c r="H78" s="184">
        <f t="shared" si="5"/>
        <v>11.115245126635072</v>
      </c>
      <c r="I78" s="184">
        <f t="shared" si="20"/>
        <v>8.5717057568714825</v>
      </c>
      <c r="J78" s="185">
        <f t="shared" si="2"/>
        <v>325.72481876111635</v>
      </c>
      <c r="K78" s="192">
        <f>+$G78*H78</f>
        <v>422.37931481213275</v>
      </c>
      <c r="L78" s="191">
        <f t="shared" si="22"/>
        <v>-96.654496051016395</v>
      </c>
      <c r="M78" s="188">
        <f t="shared" si="7"/>
        <v>-7.9368717717429025</v>
      </c>
      <c r="N78" s="189">
        <f t="shared" si="8"/>
        <v>-104.5913678227593</v>
      </c>
      <c r="O78" s="188">
        <v>0</v>
      </c>
      <c r="P78" s="188">
        <v>0</v>
      </c>
      <c r="Q78" s="188">
        <v>0</v>
      </c>
      <c r="R78" s="189">
        <f t="shared" si="9"/>
        <v>-104.5913678227593</v>
      </c>
    </row>
    <row r="79" spans="1:18" s="205" customFormat="1" x14ac:dyDescent="0.25">
      <c r="A79" s="146">
        <v>12</v>
      </c>
      <c r="B79" s="203">
        <f t="shared" si="4"/>
        <v>45261</v>
      </c>
      <c r="C79" s="206">
        <f t="shared" si="21"/>
        <v>45294</v>
      </c>
      <c r="D79" s="206">
        <f t="shared" si="21"/>
        <v>45315</v>
      </c>
      <c r="E79" s="207" t="s">
        <v>83</v>
      </c>
      <c r="F79" s="157">
        <v>9</v>
      </c>
      <c r="G79" s="183">
        <v>35</v>
      </c>
      <c r="H79" s="193">
        <f t="shared" si="5"/>
        <v>11.115245126635072</v>
      </c>
      <c r="I79" s="193">
        <f t="shared" si="20"/>
        <v>8.5717057568714825</v>
      </c>
      <c r="J79" s="194">
        <f t="shared" si="2"/>
        <v>300.00970149050187</v>
      </c>
      <c r="K79" s="195">
        <f>+$G79*H79</f>
        <v>389.0335794322275</v>
      </c>
      <c r="L79" s="196">
        <f t="shared" si="22"/>
        <v>-89.02387794172563</v>
      </c>
      <c r="M79" s="188">
        <f t="shared" si="7"/>
        <v>-7.3102766318684624</v>
      </c>
      <c r="N79" s="189">
        <f t="shared" si="8"/>
        <v>-96.334154573594091</v>
      </c>
      <c r="O79" s="188">
        <v>0</v>
      </c>
      <c r="P79" s="188">
        <v>0</v>
      </c>
      <c r="Q79" s="188">
        <v>0</v>
      </c>
      <c r="R79" s="189">
        <f t="shared" si="9"/>
        <v>-96.334154573594091</v>
      </c>
    </row>
    <row r="80" spans="1:18" s="50" customFormat="1" ht="12.75" customHeight="1" x14ac:dyDescent="0.25">
      <c r="A80" s="110">
        <v>1</v>
      </c>
      <c r="B80" s="181">
        <f t="shared" si="4"/>
        <v>44927</v>
      </c>
      <c r="C80" s="198">
        <f t="shared" ref="C80:D91" si="23">+C56</f>
        <v>44960</v>
      </c>
      <c r="D80" s="198">
        <f t="shared" si="23"/>
        <v>44981</v>
      </c>
      <c r="E80" s="182" t="s">
        <v>9</v>
      </c>
      <c r="F80" s="110">
        <v>9</v>
      </c>
      <c r="G80" s="183">
        <v>53</v>
      </c>
      <c r="H80" s="184">
        <f t="shared" si="5"/>
        <v>11.115245126635072</v>
      </c>
      <c r="I80" s="184">
        <f t="shared" si="20"/>
        <v>8.5717057568714825</v>
      </c>
      <c r="J80" s="185">
        <f t="shared" si="2"/>
        <v>454.30040511418855</v>
      </c>
      <c r="K80" s="186">
        <f t="shared" si="11"/>
        <v>589.10799171165877</v>
      </c>
      <c r="L80" s="187">
        <f t="shared" si="19"/>
        <v>-134.80758659747022</v>
      </c>
      <c r="M80" s="188">
        <f t="shared" si="7"/>
        <v>-11.069847471115102</v>
      </c>
      <c r="N80" s="189">
        <f t="shared" si="8"/>
        <v>-145.87743406858533</v>
      </c>
      <c r="O80" s="188">
        <v>0</v>
      </c>
      <c r="P80" s="188">
        <v>0</v>
      </c>
      <c r="Q80" s="188">
        <v>0</v>
      </c>
      <c r="R80" s="189">
        <f t="shared" si="9"/>
        <v>-145.87743406858533</v>
      </c>
    </row>
    <row r="81" spans="1:18" x14ac:dyDescent="0.25">
      <c r="A81" s="146">
        <v>2</v>
      </c>
      <c r="B81" s="181">
        <f t="shared" si="4"/>
        <v>44958</v>
      </c>
      <c r="C81" s="201">
        <f t="shared" si="23"/>
        <v>44988</v>
      </c>
      <c r="D81" s="201">
        <f t="shared" si="23"/>
        <v>45009</v>
      </c>
      <c r="E81" s="190" t="s">
        <v>9</v>
      </c>
      <c r="F81" s="146">
        <v>9</v>
      </c>
      <c r="G81" s="183">
        <v>55</v>
      </c>
      <c r="H81" s="184">
        <f t="shared" si="5"/>
        <v>11.115245126635072</v>
      </c>
      <c r="I81" s="184">
        <f t="shared" si="20"/>
        <v>8.5717057568714825</v>
      </c>
      <c r="J81" s="185">
        <f t="shared" si="2"/>
        <v>471.44381662793154</v>
      </c>
      <c r="K81" s="186">
        <f t="shared" si="11"/>
        <v>611.33848196492897</v>
      </c>
      <c r="L81" s="187">
        <f t="shared" si="19"/>
        <v>-139.89466533699743</v>
      </c>
      <c r="M81" s="188">
        <f t="shared" si="7"/>
        <v>-11.487577564364727</v>
      </c>
      <c r="N81" s="189">
        <f t="shared" si="8"/>
        <v>-151.38224290136216</v>
      </c>
      <c r="O81" s="188">
        <v>0</v>
      </c>
      <c r="P81" s="188">
        <v>0</v>
      </c>
      <c r="Q81" s="188">
        <v>0</v>
      </c>
      <c r="R81" s="189">
        <f t="shared" si="9"/>
        <v>-151.38224290136216</v>
      </c>
    </row>
    <row r="82" spans="1:18" x14ac:dyDescent="0.25">
      <c r="A82" s="146">
        <v>3</v>
      </c>
      <c r="B82" s="181">
        <f t="shared" si="4"/>
        <v>44986</v>
      </c>
      <c r="C82" s="201">
        <f t="shared" si="23"/>
        <v>45021</v>
      </c>
      <c r="D82" s="201">
        <f t="shared" si="23"/>
        <v>45040</v>
      </c>
      <c r="E82" s="190" t="s">
        <v>9</v>
      </c>
      <c r="F82" s="146">
        <v>9</v>
      </c>
      <c r="G82" s="183">
        <v>46</v>
      </c>
      <c r="H82" s="184">
        <f t="shared" si="5"/>
        <v>11.115245126635072</v>
      </c>
      <c r="I82" s="184">
        <f t="shared" si="20"/>
        <v>8.5717057568714825</v>
      </c>
      <c r="J82" s="185">
        <f t="shared" si="2"/>
        <v>394.2984648160882</v>
      </c>
      <c r="K82" s="186">
        <f t="shared" si="11"/>
        <v>511.30127582521334</v>
      </c>
      <c r="L82" s="187">
        <f>+J82-K82</f>
        <v>-117.00281100912514</v>
      </c>
      <c r="M82" s="188">
        <f t="shared" si="7"/>
        <v>-9.6077921447414081</v>
      </c>
      <c r="N82" s="189">
        <f t="shared" si="8"/>
        <v>-126.61060315386655</v>
      </c>
      <c r="O82" s="188">
        <v>0</v>
      </c>
      <c r="P82" s="188">
        <v>0</v>
      </c>
      <c r="Q82" s="188">
        <v>0</v>
      </c>
      <c r="R82" s="189">
        <f t="shared" si="9"/>
        <v>-126.61060315386655</v>
      </c>
    </row>
    <row r="83" spans="1:18" ht="12" customHeight="1" x14ac:dyDescent="0.25">
      <c r="A83" s="110">
        <v>4</v>
      </c>
      <c r="B83" s="181">
        <f t="shared" si="4"/>
        <v>45017</v>
      </c>
      <c r="C83" s="201">
        <f t="shared" si="23"/>
        <v>45049</v>
      </c>
      <c r="D83" s="201">
        <f t="shared" si="23"/>
        <v>45070</v>
      </c>
      <c r="E83" s="52" t="s">
        <v>9</v>
      </c>
      <c r="F83" s="146">
        <v>9</v>
      </c>
      <c r="G83" s="183">
        <v>33</v>
      </c>
      <c r="H83" s="184">
        <f t="shared" si="5"/>
        <v>11.115245126635072</v>
      </c>
      <c r="I83" s="184">
        <f t="shared" si="20"/>
        <v>8.5717057568714825</v>
      </c>
      <c r="J83" s="185">
        <f t="shared" si="2"/>
        <v>282.86628997675894</v>
      </c>
      <c r="K83" s="186">
        <f t="shared" si="11"/>
        <v>366.80308917895735</v>
      </c>
      <c r="L83" s="187">
        <f t="shared" ref="L83:L93" si="24">+J83-K83</f>
        <v>-83.936799202198415</v>
      </c>
      <c r="M83" s="188">
        <f t="shared" si="7"/>
        <v>-6.892546538618836</v>
      </c>
      <c r="N83" s="189">
        <f t="shared" si="8"/>
        <v>-90.829345740817246</v>
      </c>
      <c r="O83" s="188">
        <v>0</v>
      </c>
      <c r="P83" s="188">
        <v>0</v>
      </c>
      <c r="Q83" s="188">
        <v>0</v>
      </c>
      <c r="R83" s="189">
        <f t="shared" si="9"/>
        <v>-90.829345740817246</v>
      </c>
    </row>
    <row r="84" spans="1:18" ht="12" customHeight="1" x14ac:dyDescent="0.25">
      <c r="A84" s="146">
        <v>5</v>
      </c>
      <c r="B84" s="181">
        <f t="shared" si="4"/>
        <v>45047</v>
      </c>
      <c r="C84" s="201">
        <f t="shared" si="23"/>
        <v>45082</v>
      </c>
      <c r="D84" s="201">
        <f t="shared" si="23"/>
        <v>45103</v>
      </c>
      <c r="E84" s="52" t="s">
        <v>9</v>
      </c>
      <c r="F84" s="146">
        <v>9</v>
      </c>
      <c r="G84" s="183">
        <v>44</v>
      </c>
      <c r="H84" s="184">
        <f t="shared" si="5"/>
        <v>11.115245126635072</v>
      </c>
      <c r="I84" s="184">
        <f t="shared" si="20"/>
        <v>8.5717057568714825</v>
      </c>
      <c r="J84" s="185">
        <f t="shared" si="2"/>
        <v>377.15505330234521</v>
      </c>
      <c r="K84" s="186">
        <f t="shared" si="11"/>
        <v>489.07078557194319</v>
      </c>
      <c r="L84" s="187">
        <f t="shared" si="24"/>
        <v>-111.91573226959798</v>
      </c>
      <c r="M84" s="188">
        <f t="shared" si="7"/>
        <v>-9.1900620514917808</v>
      </c>
      <c r="N84" s="189">
        <f t="shared" si="8"/>
        <v>-121.10579432108976</v>
      </c>
      <c r="O84" s="188">
        <v>0</v>
      </c>
      <c r="P84" s="188">
        <v>0</v>
      </c>
      <c r="Q84" s="188">
        <v>0</v>
      </c>
      <c r="R84" s="189">
        <f t="shared" si="9"/>
        <v>-121.10579432108976</v>
      </c>
    </row>
    <row r="85" spans="1:18" x14ac:dyDescent="0.25">
      <c r="A85" s="146">
        <v>6</v>
      </c>
      <c r="B85" s="181">
        <f t="shared" si="4"/>
        <v>45078</v>
      </c>
      <c r="C85" s="201">
        <f t="shared" si="23"/>
        <v>45112</v>
      </c>
      <c r="D85" s="201">
        <f t="shared" si="23"/>
        <v>45131</v>
      </c>
      <c r="E85" s="52" t="s">
        <v>9</v>
      </c>
      <c r="F85" s="146">
        <v>9</v>
      </c>
      <c r="G85" s="183">
        <v>55</v>
      </c>
      <c r="H85" s="184">
        <f t="shared" ref="H85:H148" si="25">+$K$3</f>
        <v>11.115245126635072</v>
      </c>
      <c r="I85" s="184">
        <f t="shared" si="20"/>
        <v>8.5717057568714825</v>
      </c>
      <c r="J85" s="185">
        <f t="shared" si="2"/>
        <v>471.44381662793154</v>
      </c>
      <c r="K85" s="186">
        <f t="shared" si="11"/>
        <v>611.33848196492897</v>
      </c>
      <c r="L85" s="191">
        <f t="shared" si="24"/>
        <v>-139.89466533699743</v>
      </c>
      <c r="M85" s="188">
        <f t="shared" ref="M85:M148" si="26">G85/$G$212*$M$14</f>
        <v>-11.487577564364727</v>
      </c>
      <c r="N85" s="189">
        <f t="shared" ref="N85:N148" si="27">SUM(L85:M85)</f>
        <v>-151.38224290136216</v>
      </c>
      <c r="O85" s="188">
        <v>0</v>
      </c>
      <c r="P85" s="188">
        <v>0</v>
      </c>
      <c r="Q85" s="188">
        <v>0</v>
      </c>
      <c r="R85" s="189">
        <f t="shared" ref="R85:R148" si="28">+N85-Q85</f>
        <v>-151.38224290136216</v>
      </c>
    </row>
    <row r="86" spans="1:18" x14ac:dyDescent="0.25">
      <c r="A86" s="110">
        <v>7</v>
      </c>
      <c r="B86" s="181">
        <f t="shared" si="4"/>
        <v>45108</v>
      </c>
      <c r="C86" s="201">
        <f t="shared" si="23"/>
        <v>45141</v>
      </c>
      <c r="D86" s="201">
        <f t="shared" si="23"/>
        <v>45162</v>
      </c>
      <c r="E86" s="52" t="s">
        <v>9</v>
      </c>
      <c r="F86" s="146">
        <v>9</v>
      </c>
      <c r="G86" s="183">
        <v>57</v>
      </c>
      <c r="H86" s="184">
        <f t="shared" si="25"/>
        <v>11.115245126635072</v>
      </c>
      <c r="I86" s="184">
        <f t="shared" si="20"/>
        <v>8.5717057568714825</v>
      </c>
      <c r="J86" s="185">
        <f t="shared" si="2"/>
        <v>488.58722814167453</v>
      </c>
      <c r="K86" s="192">
        <f t="shared" si="11"/>
        <v>633.56897221819906</v>
      </c>
      <c r="L86" s="191">
        <f t="shared" si="24"/>
        <v>-144.98174407652454</v>
      </c>
      <c r="M86" s="188">
        <f t="shared" si="26"/>
        <v>-11.905307657614353</v>
      </c>
      <c r="N86" s="189">
        <f t="shared" si="27"/>
        <v>-156.88705173413888</v>
      </c>
      <c r="O86" s="188">
        <v>0</v>
      </c>
      <c r="P86" s="188">
        <v>0</v>
      </c>
      <c r="Q86" s="188">
        <v>0</v>
      </c>
      <c r="R86" s="189">
        <f t="shared" si="28"/>
        <v>-156.88705173413888</v>
      </c>
    </row>
    <row r="87" spans="1:18" x14ac:dyDescent="0.25">
      <c r="A87" s="146">
        <v>8</v>
      </c>
      <c r="B87" s="181">
        <f t="shared" si="4"/>
        <v>45139</v>
      </c>
      <c r="C87" s="201">
        <f t="shared" si="23"/>
        <v>45174</v>
      </c>
      <c r="D87" s="201">
        <f t="shared" si="23"/>
        <v>45194</v>
      </c>
      <c r="E87" s="52" t="s">
        <v>9</v>
      </c>
      <c r="F87" s="146">
        <v>9</v>
      </c>
      <c r="G87" s="183">
        <v>56</v>
      </c>
      <c r="H87" s="184">
        <f t="shared" si="25"/>
        <v>11.115245126635072</v>
      </c>
      <c r="I87" s="184">
        <f t="shared" si="20"/>
        <v>8.5717057568714825</v>
      </c>
      <c r="J87" s="185">
        <f t="shared" si="2"/>
        <v>480.01552238480303</v>
      </c>
      <c r="K87" s="192">
        <f t="shared" si="11"/>
        <v>622.45372709156402</v>
      </c>
      <c r="L87" s="191">
        <f t="shared" si="24"/>
        <v>-142.43820470676098</v>
      </c>
      <c r="M87" s="188">
        <f t="shared" si="26"/>
        <v>-11.696442610989539</v>
      </c>
      <c r="N87" s="189">
        <f t="shared" si="27"/>
        <v>-154.13464731775053</v>
      </c>
      <c r="O87" s="188">
        <v>0</v>
      </c>
      <c r="P87" s="188">
        <v>0</v>
      </c>
      <c r="Q87" s="188">
        <v>0</v>
      </c>
      <c r="R87" s="189">
        <f t="shared" si="28"/>
        <v>-154.13464731775053</v>
      </c>
    </row>
    <row r="88" spans="1:18" x14ac:dyDescent="0.25">
      <c r="A88" s="146">
        <v>9</v>
      </c>
      <c r="B88" s="181">
        <f t="shared" si="4"/>
        <v>45170</v>
      </c>
      <c r="C88" s="201">
        <f t="shared" si="23"/>
        <v>45203</v>
      </c>
      <c r="D88" s="201">
        <f t="shared" si="23"/>
        <v>45223</v>
      </c>
      <c r="E88" s="52" t="s">
        <v>9</v>
      </c>
      <c r="F88" s="146">
        <v>9</v>
      </c>
      <c r="G88" s="183">
        <v>60</v>
      </c>
      <c r="H88" s="184">
        <f t="shared" si="25"/>
        <v>11.115245126635072</v>
      </c>
      <c r="I88" s="184">
        <f t="shared" si="20"/>
        <v>8.5717057568714825</v>
      </c>
      <c r="J88" s="185">
        <f t="shared" si="2"/>
        <v>514.3023454122889</v>
      </c>
      <c r="K88" s="192">
        <f t="shared" si="11"/>
        <v>666.91470759810431</v>
      </c>
      <c r="L88" s="191">
        <f t="shared" si="24"/>
        <v>-152.61236218581541</v>
      </c>
      <c r="M88" s="188">
        <f t="shared" si="26"/>
        <v>-12.531902797488792</v>
      </c>
      <c r="N88" s="189">
        <f t="shared" si="27"/>
        <v>-165.1442649833042</v>
      </c>
      <c r="O88" s="188">
        <v>0</v>
      </c>
      <c r="P88" s="188">
        <v>0</v>
      </c>
      <c r="Q88" s="188">
        <v>0</v>
      </c>
      <c r="R88" s="189">
        <f t="shared" si="28"/>
        <v>-165.1442649833042</v>
      </c>
    </row>
    <row r="89" spans="1:18" x14ac:dyDescent="0.25">
      <c r="A89" s="110">
        <v>10</v>
      </c>
      <c r="B89" s="181">
        <f t="shared" si="4"/>
        <v>45200</v>
      </c>
      <c r="C89" s="201">
        <f t="shared" si="23"/>
        <v>45233</v>
      </c>
      <c r="D89" s="201">
        <f t="shared" si="23"/>
        <v>45254</v>
      </c>
      <c r="E89" s="52" t="s">
        <v>9</v>
      </c>
      <c r="F89" s="146">
        <v>9</v>
      </c>
      <c r="G89" s="183">
        <v>48</v>
      </c>
      <c r="H89" s="184">
        <f t="shared" si="25"/>
        <v>11.115245126635072</v>
      </c>
      <c r="I89" s="184">
        <f t="shared" si="20"/>
        <v>8.5717057568714825</v>
      </c>
      <c r="J89" s="185">
        <f t="shared" si="2"/>
        <v>411.44187632983119</v>
      </c>
      <c r="K89" s="192">
        <f t="shared" si="11"/>
        <v>533.53176607848343</v>
      </c>
      <c r="L89" s="191">
        <f t="shared" si="24"/>
        <v>-122.08988974865224</v>
      </c>
      <c r="M89" s="188">
        <f t="shared" si="26"/>
        <v>-10.025522237991034</v>
      </c>
      <c r="N89" s="189">
        <f t="shared" si="27"/>
        <v>-132.11541198664327</v>
      </c>
      <c r="O89" s="188">
        <v>0</v>
      </c>
      <c r="P89" s="188">
        <v>0</v>
      </c>
      <c r="Q89" s="188">
        <v>0</v>
      </c>
      <c r="R89" s="189">
        <f t="shared" si="28"/>
        <v>-132.11541198664327</v>
      </c>
    </row>
    <row r="90" spans="1:18" x14ac:dyDescent="0.25">
      <c r="A90" s="146">
        <v>11</v>
      </c>
      <c r="B90" s="181">
        <f t="shared" si="4"/>
        <v>45231</v>
      </c>
      <c r="C90" s="201">
        <f t="shared" si="23"/>
        <v>45266</v>
      </c>
      <c r="D90" s="201">
        <f t="shared" si="23"/>
        <v>45285</v>
      </c>
      <c r="E90" s="52" t="s">
        <v>9</v>
      </c>
      <c r="F90" s="146">
        <v>9</v>
      </c>
      <c r="G90" s="183">
        <v>54</v>
      </c>
      <c r="H90" s="184">
        <f t="shared" si="25"/>
        <v>11.115245126635072</v>
      </c>
      <c r="I90" s="184">
        <f t="shared" si="20"/>
        <v>8.5717057568714825</v>
      </c>
      <c r="J90" s="185">
        <f t="shared" si="2"/>
        <v>462.87211087106004</v>
      </c>
      <c r="K90" s="192">
        <f t="shared" si="11"/>
        <v>600.22323683829393</v>
      </c>
      <c r="L90" s="191">
        <f t="shared" si="24"/>
        <v>-137.35112596723388</v>
      </c>
      <c r="M90" s="188">
        <f t="shared" si="26"/>
        <v>-11.278712517739914</v>
      </c>
      <c r="N90" s="189">
        <f t="shared" si="27"/>
        <v>-148.62983848497379</v>
      </c>
      <c r="O90" s="188">
        <v>0</v>
      </c>
      <c r="P90" s="188">
        <v>0</v>
      </c>
      <c r="Q90" s="188">
        <v>0</v>
      </c>
      <c r="R90" s="189">
        <f t="shared" si="28"/>
        <v>-148.62983848497379</v>
      </c>
    </row>
    <row r="91" spans="1:18" s="205" customFormat="1" x14ac:dyDescent="0.25">
      <c r="A91" s="146">
        <v>12</v>
      </c>
      <c r="B91" s="203">
        <f t="shared" si="4"/>
        <v>45261</v>
      </c>
      <c r="C91" s="201">
        <f t="shared" si="23"/>
        <v>45294</v>
      </c>
      <c r="D91" s="201">
        <f t="shared" si="23"/>
        <v>45315</v>
      </c>
      <c r="E91" s="204" t="s">
        <v>9</v>
      </c>
      <c r="F91" s="157">
        <v>9</v>
      </c>
      <c r="G91" s="183">
        <v>55</v>
      </c>
      <c r="H91" s="193">
        <f t="shared" si="25"/>
        <v>11.115245126635072</v>
      </c>
      <c r="I91" s="193">
        <f t="shared" si="20"/>
        <v>8.5717057568714825</v>
      </c>
      <c r="J91" s="194">
        <f t="shared" si="2"/>
        <v>471.44381662793154</v>
      </c>
      <c r="K91" s="195">
        <f t="shared" si="11"/>
        <v>611.33848196492897</v>
      </c>
      <c r="L91" s="196">
        <f t="shared" si="24"/>
        <v>-139.89466533699743</v>
      </c>
      <c r="M91" s="188">
        <f t="shared" si="26"/>
        <v>-11.487577564364727</v>
      </c>
      <c r="N91" s="189">
        <f t="shared" si="27"/>
        <v>-151.38224290136216</v>
      </c>
      <c r="O91" s="188">
        <v>0</v>
      </c>
      <c r="P91" s="188">
        <v>0</v>
      </c>
      <c r="Q91" s="188">
        <v>0</v>
      </c>
      <c r="R91" s="189">
        <f t="shared" si="28"/>
        <v>-151.38224290136216</v>
      </c>
    </row>
    <row r="92" spans="1:18" x14ac:dyDescent="0.25">
      <c r="A92" s="110">
        <v>1</v>
      </c>
      <c r="B92" s="181">
        <f t="shared" si="4"/>
        <v>44927</v>
      </c>
      <c r="C92" s="198">
        <f t="shared" ref="C92:D95" si="29">+C80</f>
        <v>44960</v>
      </c>
      <c r="D92" s="198">
        <f t="shared" si="29"/>
        <v>44981</v>
      </c>
      <c r="E92" s="182" t="s">
        <v>8</v>
      </c>
      <c r="F92" s="110">
        <v>9</v>
      </c>
      <c r="G92" s="183">
        <v>84</v>
      </c>
      <c r="H92" s="184">
        <f t="shared" si="25"/>
        <v>11.115245126635072</v>
      </c>
      <c r="I92" s="184">
        <f t="shared" si="20"/>
        <v>8.5717057568714825</v>
      </c>
      <c r="J92" s="185">
        <f t="shared" si="2"/>
        <v>720.02328357720455</v>
      </c>
      <c r="K92" s="186">
        <f t="shared" si="11"/>
        <v>933.68059063734609</v>
      </c>
      <c r="L92" s="187">
        <f t="shared" si="24"/>
        <v>-213.65730706014153</v>
      </c>
      <c r="M92" s="188">
        <f t="shared" si="26"/>
        <v>-17.544663916484311</v>
      </c>
      <c r="N92" s="189">
        <f t="shared" si="27"/>
        <v>-231.20197097662583</v>
      </c>
      <c r="O92" s="188">
        <v>0</v>
      </c>
      <c r="P92" s="188">
        <v>0</v>
      </c>
      <c r="Q92" s="188">
        <v>0</v>
      </c>
      <c r="R92" s="189">
        <f t="shared" si="28"/>
        <v>-231.20197097662583</v>
      </c>
    </row>
    <row r="93" spans="1:18" x14ac:dyDescent="0.25">
      <c r="A93" s="146">
        <v>2</v>
      </c>
      <c r="B93" s="181">
        <f t="shared" si="4"/>
        <v>44958</v>
      </c>
      <c r="C93" s="201">
        <f t="shared" si="29"/>
        <v>44988</v>
      </c>
      <c r="D93" s="201">
        <f t="shared" si="29"/>
        <v>45009</v>
      </c>
      <c r="E93" s="190" t="s">
        <v>8</v>
      </c>
      <c r="F93" s="146">
        <v>9</v>
      </c>
      <c r="G93" s="183">
        <v>83</v>
      </c>
      <c r="H93" s="184">
        <f t="shared" si="25"/>
        <v>11.115245126635072</v>
      </c>
      <c r="I93" s="184">
        <f t="shared" si="20"/>
        <v>8.5717057568714825</v>
      </c>
      <c r="J93" s="185">
        <f t="shared" si="2"/>
        <v>711.451577820333</v>
      </c>
      <c r="K93" s="186">
        <f t="shared" si="11"/>
        <v>922.56534551071093</v>
      </c>
      <c r="L93" s="187">
        <f t="shared" si="24"/>
        <v>-211.11376769037793</v>
      </c>
      <c r="M93" s="188">
        <f t="shared" si="26"/>
        <v>-17.335798869859495</v>
      </c>
      <c r="N93" s="189">
        <f t="shared" si="27"/>
        <v>-228.44956656023743</v>
      </c>
      <c r="O93" s="188">
        <v>0</v>
      </c>
      <c r="P93" s="188">
        <v>0</v>
      </c>
      <c r="Q93" s="188">
        <v>0</v>
      </c>
      <c r="R93" s="189">
        <f t="shared" si="28"/>
        <v>-228.44956656023743</v>
      </c>
    </row>
    <row r="94" spans="1:18" x14ac:dyDescent="0.25">
      <c r="A94" s="146">
        <v>3</v>
      </c>
      <c r="B94" s="181">
        <f t="shared" si="4"/>
        <v>44986</v>
      </c>
      <c r="C94" s="201">
        <f t="shared" si="29"/>
        <v>45021</v>
      </c>
      <c r="D94" s="201">
        <f t="shared" si="29"/>
        <v>45040</v>
      </c>
      <c r="E94" s="190" t="s">
        <v>8</v>
      </c>
      <c r="F94" s="146">
        <v>9</v>
      </c>
      <c r="G94" s="183">
        <v>76</v>
      </c>
      <c r="H94" s="184">
        <f t="shared" si="25"/>
        <v>11.115245126635072</v>
      </c>
      <c r="I94" s="184">
        <f t="shared" si="20"/>
        <v>8.5717057568714825</v>
      </c>
      <c r="J94" s="185">
        <f t="shared" si="2"/>
        <v>651.44963752223271</v>
      </c>
      <c r="K94" s="186">
        <f t="shared" ref="K94:K133" si="30">+$G94*H94</f>
        <v>844.7586296242655</v>
      </c>
      <c r="L94" s="187">
        <f>+J94-K94</f>
        <v>-193.30899210203279</v>
      </c>
      <c r="M94" s="188">
        <f t="shared" si="26"/>
        <v>-15.873743543485805</v>
      </c>
      <c r="N94" s="189">
        <f t="shared" si="27"/>
        <v>-209.18273564551859</v>
      </c>
      <c r="O94" s="188">
        <v>0</v>
      </c>
      <c r="P94" s="188">
        <v>0</v>
      </c>
      <c r="Q94" s="188">
        <v>0</v>
      </c>
      <c r="R94" s="189">
        <f t="shared" si="28"/>
        <v>-209.18273564551859</v>
      </c>
    </row>
    <row r="95" spans="1:18" x14ac:dyDescent="0.25">
      <c r="A95" s="110">
        <v>4</v>
      </c>
      <c r="B95" s="181">
        <f t="shared" si="4"/>
        <v>45017</v>
      </c>
      <c r="C95" s="201">
        <f t="shared" si="29"/>
        <v>45049</v>
      </c>
      <c r="D95" s="201">
        <f t="shared" si="29"/>
        <v>45070</v>
      </c>
      <c r="E95" s="190" t="s">
        <v>8</v>
      </c>
      <c r="F95" s="146">
        <v>9</v>
      </c>
      <c r="G95" s="183">
        <v>69</v>
      </c>
      <c r="H95" s="184">
        <f t="shared" si="25"/>
        <v>11.115245126635072</v>
      </c>
      <c r="I95" s="184">
        <f t="shared" si="20"/>
        <v>8.5717057568714825</v>
      </c>
      <c r="J95" s="185">
        <f t="shared" si="2"/>
        <v>591.4476972241323</v>
      </c>
      <c r="K95" s="186">
        <f t="shared" si="30"/>
        <v>766.95191373781995</v>
      </c>
      <c r="L95" s="187">
        <f t="shared" ref="L95:L105" si="31">+J95-K95</f>
        <v>-175.50421651368765</v>
      </c>
      <c r="M95" s="188">
        <f t="shared" si="26"/>
        <v>-14.411688217112111</v>
      </c>
      <c r="N95" s="189">
        <f t="shared" si="27"/>
        <v>-189.91590473079975</v>
      </c>
      <c r="O95" s="188">
        <v>0</v>
      </c>
      <c r="P95" s="188">
        <v>0</v>
      </c>
      <c r="Q95" s="188">
        <v>0</v>
      </c>
      <c r="R95" s="189">
        <f t="shared" si="28"/>
        <v>-189.91590473079975</v>
      </c>
    </row>
    <row r="96" spans="1:18" x14ac:dyDescent="0.25">
      <c r="A96" s="146">
        <v>5</v>
      </c>
      <c r="B96" s="181">
        <f t="shared" si="4"/>
        <v>45047</v>
      </c>
      <c r="C96" s="201">
        <f t="shared" ref="C96:D116" si="32">+C84</f>
        <v>45082</v>
      </c>
      <c r="D96" s="201">
        <f t="shared" si="32"/>
        <v>45103</v>
      </c>
      <c r="E96" s="52" t="s">
        <v>8</v>
      </c>
      <c r="F96" s="146">
        <v>9</v>
      </c>
      <c r="G96" s="183">
        <v>99</v>
      </c>
      <c r="H96" s="184">
        <f t="shared" si="25"/>
        <v>11.115245126635072</v>
      </c>
      <c r="I96" s="184">
        <f t="shared" si="20"/>
        <v>8.5717057568714825</v>
      </c>
      <c r="J96" s="185">
        <f t="shared" si="2"/>
        <v>848.59886993027681</v>
      </c>
      <c r="K96" s="186">
        <f t="shared" si="30"/>
        <v>1100.4092675368722</v>
      </c>
      <c r="L96" s="187">
        <f t="shared" si="31"/>
        <v>-251.81039760659542</v>
      </c>
      <c r="M96" s="188">
        <f t="shared" si="26"/>
        <v>-20.67763961585651</v>
      </c>
      <c r="N96" s="189">
        <f t="shared" si="27"/>
        <v>-272.48803722245191</v>
      </c>
      <c r="O96" s="188">
        <v>0</v>
      </c>
      <c r="P96" s="188">
        <v>0</v>
      </c>
      <c r="Q96" s="188">
        <v>0</v>
      </c>
      <c r="R96" s="189">
        <f t="shared" si="28"/>
        <v>-272.48803722245191</v>
      </c>
    </row>
    <row r="97" spans="1:18" x14ac:dyDescent="0.25">
      <c r="A97" s="146">
        <v>6</v>
      </c>
      <c r="B97" s="181">
        <f t="shared" si="4"/>
        <v>45078</v>
      </c>
      <c r="C97" s="201">
        <f t="shared" si="32"/>
        <v>45112</v>
      </c>
      <c r="D97" s="201">
        <f t="shared" si="32"/>
        <v>45131</v>
      </c>
      <c r="E97" s="52" t="s">
        <v>8</v>
      </c>
      <c r="F97" s="146">
        <v>9</v>
      </c>
      <c r="G97" s="183">
        <v>149</v>
      </c>
      <c r="H97" s="184">
        <f t="shared" si="25"/>
        <v>11.115245126635072</v>
      </c>
      <c r="I97" s="184">
        <f t="shared" si="20"/>
        <v>8.5717057568714825</v>
      </c>
      <c r="J97" s="185">
        <f t="shared" si="2"/>
        <v>1277.184157773851</v>
      </c>
      <c r="K97" s="186">
        <f t="shared" si="30"/>
        <v>1656.1715238686256</v>
      </c>
      <c r="L97" s="191">
        <f t="shared" si="31"/>
        <v>-378.98736609477464</v>
      </c>
      <c r="M97" s="188">
        <f t="shared" si="26"/>
        <v>-31.120891947097167</v>
      </c>
      <c r="N97" s="189">
        <f t="shared" si="27"/>
        <v>-410.10825804187181</v>
      </c>
      <c r="O97" s="188">
        <v>0</v>
      </c>
      <c r="P97" s="188">
        <v>0</v>
      </c>
      <c r="Q97" s="188">
        <v>0</v>
      </c>
      <c r="R97" s="189">
        <f t="shared" si="28"/>
        <v>-410.10825804187181</v>
      </c>
    </row>
    <row r="98" spans="1:18" x14ac:dyDescent="0.25">
      <c r="A98" s="110">
        <v>7</v>
      </c>
      <c r="B98" s="181">
        <f t="shared" si="4"/>
        <v>45108</v>
      </c>
      <c r="C98" s="201">
        <f t="shared" si="32"/>
        <v>45141</v>
      </c>
      <c r="D98" s="201">
        <f t="shared" si="32"/>
        <v>45162</v>
      </c>
      <c r="E98" s="52" t="s">
        <v>8</v>
      </c>
      <c r="F98" s="146">
        <v>9</v>
      </c>
      <c r="G98" s="183">
        <v>148</v>
      </c>
      <c r="H98" s="184">
        <f t="shared" si="25"/>
        <v>11.115245126635072</v>
      </c>
      <c r="I98" s="184">
        <f t="shared" si="20"/>
        <v>8.5717057568714825</v>
      </c>
      <c r="J98" s="185">
        <f t="shared" si="2"/>
        <v>1268.6124520169794</v>
      </c>
      <c r="K98" s="192">
        <f t="shared" si="30"/>
        <v>1645.0562787419906</v>
      </c>
      <c r="L98" s="191">
        <f t="shared" si="31"/>
        <v>-376.44382672501115</v>
      </c>
      <c r="M98" s="188">
        <f t="shared" si="26"/>
        <v>-30.912026900472352</v>
      </c>
      <c r="N98" s="189">
        <f t="shared" si="27"/>
        <v>-407.35585362548352</v>
      </c>
      <c r="O98" s="188">
        <v>0</v>
      </c>
      <c r="P98" s="188">
        <v>0</v>
      </c>
      <c r="Q98" s="188">
        <v>0</v>
      </c>
      <c r="R98" s="189">
        <f t="shared" si="28"/>
        <v>-407.35585362548352</v>
      </c>
    </row>
    <row r="99" spans="1:18" x14ac:dyDescent="0.25">
      <c r="A99" s="146">
        <v>8</v>
      </c>
      <c r="B99" s="181">
        <f t="shared" si="4"/>
        <v>45139</v>
      </c>
      <c r="C99" s="201">
        <f t="shared" si="32"/>
        <v>45174</v>
      </c>
      <c r="D99" s="201">
        <f t="shared" si="32"/>
        <v>45194</v>
      </c>
      <c r="E99" s="52" t="s">
        <v>8</v>
      </c>
      <c r="F99" s="146">
        <v>9</v>
      </c>
      <c r="G99" s="183">
        <v>160</v>
      </c>
      <c r="H99" s="184">
        <f t="shared" si="25"/>
        <v>11.115245126635072</v>
      </c>
      <c r="I99" s="184">
        <f t="shared" si="20"/>
        <v>8.5717057568714825</v>
      </c>
      <c r="J99" s="185">
        <f t="shared" si="2"/>
        <v>1371.4729210994371</v>
      </c>
      <c r="K99" s="192">
        <f t="shared" si="30"/>
        <v>1778.4392202616116</v>
      </c>
      <c r="L99" s="191">
        <f t="shared" si="31"/>
        <v>-406.96629916217444</v>
      </c>
      <c r="M99" s="188">
        <f t="shared" si="26"/>
        <v>-33.418407459970112</v>
      </c>
      <c r="N99" s="189">
        <f t="shared" si="27"/>
        <v>-440.38470662214456</v>
      </c>
      <c r="O99" s="188">
        <v>0</v>
      </c>
      <c r="P99" s="188">
        <v>0</v>
      </c>
      <c r="Q99" s="188">
        <v>0</v>
      </c>
      <c r="R99" s="189">
        <f t="shared" si="28"/>
        <v>-440.38470662214456</v>
      </c>
    </row>
    <row r="100" spans="1:18" x14ac:dyDescent="0.25">
      <c r="A100" s="146">
        <v>9</v>
      </c>
      <c r="B100" s="181">
        <f t="shared" si="4"/>
        <v>45170</v>
      </c>
      <c r="C100" s="201">
        <f t="shared" si="32"/>
        <v>45203</v>
      </c>
      <c r="D100" s="201">
        <f t="shared" si="32"/>
        <v>45223</v>
      </c>
      <c r="E100" s="52" t="s">
        <v>8</v>
      </c>
      <c r="F100" s="146">
        <v>9</v>
      </c>
      <c r="G100" s="183">
        <v>155</v>
      </c>
      <c r="H100" s="184">
        <f t="shared" si="25"/>
        <v>11.115245126635072</v>
      </c>
      <c r="I100" s="184">
        <f t="shared" si="20"/>
        <v>8.5717057568714825</v>
      </c>
      <c r="J100" s="185">
        <f t="shared" si="2"/>
        <v>1328.6143923150798</v>
      </c>
      <c r="K100" s="192">
        <f t="shared" si="30"/>
        <v>1722.8629946284361</v>
      </c>
      <c r="L100" s="191">
        <f t="shared" si="31"/>
        <v>-394.24860231335629</v>
      </c>
      <c r="M100" s="188">
        <f t="shared" si="26"/>
        <v>-32.374082226846049</v>
      </c>
      <c r="N100" s="189">
        <f t="shared" si="27"/>
        <v>-426.62268454020233</v>
      </c>
      <c r="O100" s="188">
        <v>0</v>
      </c>
      <c r="P100" s="188">
        <v>0</v>
      </c>
      <c r="Q100" s="188">
        <v>0</v>
      </c>
      <c r="R100" s="189">
        <f t="shared" si="28"/>
        <v>-426.62268454020233</v>
      </c>
    </row>
    <row r="101" spans="1:18" x14ac:dyDescent="0.25">
      <c r="A101" s="110">
        <v>10</v>
      </c>
      <c r="B101" s="181">
        <f t="shared" si="4"/>
        <v>45200</v>
      </c>
      <c r="C101" s="201">
        <f t="shared" si="32"/>
        <v>45233</v>
      </c>
      <c r="D101" s="201">
        <f t="shared" si="32"/>
        <v>45254</v>
      </c>
      <c r="E101" s="52" t="s">
        <v>8</v>
      </c>
      <c r="F101" s="146">
        <v>9</v>
      </c>
      <c r="G101" s="183">
        <v>110</v>
      </c>
      <c r="H101" s="184">
        <f t="shared" si="25"/>
        <v>11.115245126635072</v>
      </c>
      <c r="I101" s="184">
        <f t="shared" si="20"/>
        <v>8.5717057568714825</v>
      </c>
      <c r="J101" s="185">
        <f t="shared" si="2"/>
        <v>942.88763325586308</v>
      </c>
      <c r="K101" s="192">
        <f t="shared" si="30"/>
        <v>1222.6769639298579</v>
      </c>
      <c r="L101" s="191">
        <f t="shared" si="31"/>
        <v>-279.78933067399487</v>
      </c>
      <c r="M101" s="188">
        <f t="shared" si="26"/>
        <v>-22.975155128729455</v>
      </c>
      <c r="N101" s="189">
        <f t="shared" si="27"/>
        <v>-302.76448580272432</v>
      </c>
      <c r="O101" s="188">
        <v>0</v>
      </c>
      <c r="P101" s="188">
        <v>0</v>
      </c>
      <c r="Q101" s="188">
        <v>0</v>
      </c>
      <c r="R101" s="189">
        <f t="shared" si="28"/>
        <v>-302.76448580272432</v>
      </c>
    </row>
    <row r="102" spans="1:18" x14ac:dyDescent="0.25">
      <c r="A102" s="146">
        <v>11</v>
      </c>
      <c r="B102" s="181">
        <f t="shared" si="4"/>
        <v>45231</v>
      </c>
      <c r="C102" s="201">
        <f t="shared" si="32"/>
        <v>45266</v>
      </c>
      <c r="D102" s="201">
        <f t="shared" si="32"/>
        <v>45285</v>
      </c>
      <c r="E102" s="52" t="s">
        <v>8</v>
      </c>
      <c r="F102" s="146">
        <v>9</v>
      </c>
      <c r="G102" s="183">
        <v>70</v>
      </c>
      <c r="H102" s="184">
        <f t="shared" si="25"/>
        <v>11.115245126635072</v>
      </c>
      <c r="I102" s="184">
        <f t="shared" si="20"/>
        <v>8.5717057568714825</v>
      </c>
      <c r="J102" s="185">
        <f t="shared" si="2"/>
        <v>600.01940298100374</v>
      </c>
      <c r="K102" s="192">
        <f t="shared" si="30"/>
        <v>778.067158864455</v>
      </c>
      <c r="L102" s="191">
        <f t="shared" si="31"/>
        <v>-178.04775588345126</v>
      </c>
      <c r="M102" s="188">
        <f t="shared" si="26"/>
        <v>-14.620553263736925</v>
      </c>
      <c r="N102" s="189">
        <f t="shared" si="27"/>
        <v>-192.66830914718818</v>
      </c>
      <c r="O102" s="188">
        <v>0</v>
      </c>
      <c r="P102" s="188">
        <v>0</v>
      </c>
      <c r="Q102" s="188">
        <v>0</v>
      </c>
      <c r="R102" s="189">
        <f t="shared" si="28"/>
        <v>-192.66830914718818</v>
      </c>
    </row>
    <row r="103" spans="1:18" s="205" customFormat="1" x14ac:dyDescent="0.25">
      <c r="A103" s="146">
        <v>12</v>
      </c>
      <c r="B103" s="203">
        <f t="shared" si="4"/>
        <v>45261</v>
      </c>
      <c r="C103" s="201">
        <f t="shared" si="32"/>
        <v>45294</v>
      </c>
      <c r="D103" s="201">
        <f t="shared" si="32"/>
        <v>45315</v>
      </c>
      <c r="E103" s="204" t="s">
        <v>8</v>
      </c>
      <c r="F103" s="157">
        <v>9</v>
      </c>
      <c r="G103" s="183">
        <v>66</v>
      </c>
      <c r="H103" s="193">
        <f t="shared" si="25"/>
        <v>11.115245126635072</v>
      </c>
      <c r="I103" s="193">
        <f t="shared" si="20"/>
        <v>8.5717057568714825</v>
      </c>
      <c r="J103" s="194">
        <f t="shared" si="2"/>
        <v>565.73257995351787</v>
      </c>
      <c r="K103" s="195">
        <f t="shared" si="30"/>
        <v>733.6061783579147</v>
      </c>
      <c r="L103" s="196">
        <f t="shared" si="31"/>
        <v>-167.87359840439683</v>
      </c>
      <c r="M103" s="188">
        <f t="shared" si="26"/>
        <v>-13.785093077237672</v>
      </c>
      <c r="N103" s="189">
        <f t="shared" si="27"/>
        <v>-181.65869148163449</v>
      </c>
      <c r="O103" s="188">
        <v>0</v>
      </c>
      <c r="P103" s="188">
        <v>0</v>
      </c>
      <c r="Q103" s="188">
        <v>0</v>
      </c>
      <c r="R103" s="189">
        <f t="shared" si="28"/>
        <v>-181.65869148163449</v>
      </c>
    </row>
    <row r="104" spans="1:18" x14ac:dyDescent="0.25">
      <c r="A104" s="110">
        <v>1</v>
      </c>
      <c r="B104" s="181">
        <f t="shared" si="4"/>
        <v>44927</v>
      </c>
      <c r="C104" s="198">
        <f t="shared" si="32"/>
        <v>44960</v>
      </c>
      <c r="D104" s="198">
        <f t="shared" si="32"/>
        <v>44981</v>
      </c>
      <c r="E104" s="182" t="s">
        <v>19</v>
      </c>
      <c r="F104" s="110">
        <v>9</v>
      </c>
      <c r="G104" s="183">
        <v>63</v>
      </c>
      <c r="H104" s="184">
        <f t="shared" si="25"/>
        <v>11.115245126635072</v>
      </c>
      <c r="I104" s="184">
        <f t="shared" si="20"/>
        <v>8.5717057568714825</v>
      </c>
      <c r="J104" s="185">
        <f t="shared" si="2"/>
        <v>540.01746268290344</v>
      </c>
      <c r="K104" s="186">
        <f t="shared" si="30"/>
        <v>700.26044297800956</v>
      </c>
      <c r="L104" s="187">
        <f t="shared" si="31"/>
        <v>-160.24298029510612</v>
      </c>
      <c r="M104" s="188">
        <f t="shared" si="26"/>
        <v>-13.158497937363231</v>
      </c>
      <c r="N104" s="189">
        <f t="shared" si="27"/>
        <v>-173.40147823246934</v>
      </c>
      <c r="O104" s="188">
        <v>0</v>
      </c>
      <c r="P104" s="188">
        <v>0</v>
      </c>
      <c r="Q104" s="188">
        <v>0</v>
      </c>
      <c r="R104" s="189">
        <f t="shared" si="28"/>
        <v>-173.40147823246934</v>
      </c>
    </row>
    <row r="105" spans="1:18" x14ac:dyDescent="0.25">
      <c r="A105" s="146">
        <v>2</v>
      </c>
      <c r="B105" s="181">
        <f t="shared" si="4"/>
        <v>44958</v>
      </c>
      <c r="C105" s="201">
        <f t="shared" si="32"/>
        <v>44988</v>
      </c>
      <c r="D105" s="201">
        <f t="shared" si="32"/>
        <v>45009</v>
      </c>
      <c r="E105" s="190" t="s">
        <v>19</v>
      </c>
      <c r="F105" s="146">
        <v>9</v>
      </c>
      <c r="G105" s="183">
        <v>63</v>
      </c>
      <c r="H105" s="184">
        <f t="shared" si="25"/>
        <v>11.115245126635072</v>
      </c>
      <c r="I105" s="184">
        <f t="shared" si="20"/>
        <v>8.5717057568714825</v>
      </c>
      <c r="J105" s="185">
        <f t="shared" si="2"/>
        <v>540.01746268290344</v>
      </c>
      <c r="K105" s="186">
        <f t="shared" si="30"/>
        <v>700.26044297800956</v>
      </c>
      <c r="L105" s="187">
        <f t="shared" si="31"/>
        <v>-160.24298029510612</v>
      </c>
      <c r="M105" s="188">
        <f t="shared" si="26"/>
        <v>-13.158497937363231</v>
      </c>
      <c r="N105" s="189">
        <f t="shared" si="27"/>
        <v>-173.40147823246934</v>
      </c>
      <c r="O105" s="188">
        <v>0</v>
      </c>
      <c r="P105" s="188">
        <v>0</v>
      </c>
      <c r="Q105" s="188">
        <v>0</v>
      </c>
      <c r="R105" s="189">
        <f t="shared" si="28"/>
        <v>-173.40147823246934</v>
      </c>
    </row>
    <row r="106" spans="1:18" x14ac:dyDescent="0.25">
      <c r="A106" s="146">
        <v>3</v>
      </c>
      <c r="B106" s="181">
        <f t="shared" si="4"/>
        <v>44986</v>
      </c>
      <c r="C106" s="201">
        <f t="shared" si="32"/>
        <v>45021</v>
      </c>
      <c r="D106" s="201">
        <f t="shared" si="32"/>
        <v>45040</v>
      </c>
      <c r="E106" s="190" t="s">
        <v>19</v>
      </c>
      <c r="F106" s="146">
        <v>9</v>
      </c>
      <c r="G106" s="183">
        <v>67</v>
      </c>
      <c r="H106" s="184">
        <f t="shared" si="25"/>
        <v>11.115245126635072</v>
      </c>
      <c r="I106" s="184">
        <f t="shared" si="20"/>
        <v>8.5717057568714825</v>
      </c>
      <c r="J106" s="185">
        <f t="shared" si="2"/>
        <v>574.30428571038931</v>
      </c>
      <c r="K106" s="186">
        <f t="shared" si="30"/>
        <v>744.72142348454986</v>
      </c>
      <c r="L106" s="187">
        <f>+J106-K106</f>
        <v>-170.41713777416055</v>
      </c>
      <c r="M106" s="188">
        <f t="shared" si="26"/>
        <v>-13.993958123862486</v>
      </c>
      <c r="N106" s="189">
        <f t="shared" si="27"/>
        <v>-184.41109589802304</v>
      </c>
      <c r="O106" s="188">
        <v>0</v>
      </c>
      <c r="P106" s="188">
        <v>0</v>
      </c>
      <c r="Q106" s="188">
        <v>0</v>
      </c>
      <c r="R106" s="189">
        <f t="shared" si="28"/>
        <v>-184.41109589802304</v>
      </c>
    </row>
    <row r="107" spans="1:18" x14ac:dyDescent="0.25">
      <c r="A107" s="110">
        <v>4</v>
      </c>
      <c r="B107" s="181">
        <f t="shared" si="4"/>
        <v>45017</v>
      </c>
      <c r="C107" s="201">
        <f t="shared" si="32"/>
        <v>45049</v>
      </c>
      <c r="D107" s="201">
        <f t="shared" si="32"/>
        <v>45070</v>
      </c>
      <c r="E107" s="52" t="s">
        <v>19</v>
      </c>
      <c r="F107" s="146">
        <v>9</v>
      </c>
      <c r="G107" s="183">
        <v>62</v>
      </c>
      <c r="H107" s="184">
        <f t="shared" si="25"/>
        <v>11.115245126635072</v>
      </c>
      <c r="I107" s="184">
        <f t="shared" si="20"/>
        <v>8.5717057568714825</v>
      </c>
      <c r="J107" s="185">
        <f t="shared" si="2"/>
        <v>531.44575692603189</v>
      </c>
      <c r="K107" s="186">
        <f t="shared" si="30"/>
        <v>689.14519785137452</v>
      </c>
      <c r="L107" s="187">
        <f t="shared" ref="L107:L115" si="33">+J107-K107</f>
        <v>-157.69944092534263</v>
      </c>
      <c r="M107" s="188">
        <f t="shared" si="26"/>
        <v>-12.949632890738418</v>
      </c>
      <c r="N107" s="189">
        <f t="shared" si="27"/>
        <v>-170.64907381608106</v>
      </c>
      <c r="O107" s="188">
        <v>0</v>
      </c>
      <c r="P107" s="188">
        <v>0</v>
      </c>
      <c r="Q107" s="188">
        <v>0</v>
      </c>
      <c r="R107" s="189">
        <f t="shared" si="28"/>
        <v>-170.64907381608106</v>
      </c>
    </row>
    <row r="108" spans="1:18" x14ac:dyDescent="0.25">
      <c r="A108" s="146">
        <v>5</v>
      </c>
      <c r="B108" s="181">
        <f t="shared" si="4"/>
        <v>45047</v>
      </c>
      <c r="C108" s="201">
        <f t="shared" si="32"/>
        <v>45082</v>
      </c>
      <c r="D108" s="201">
        <f t="shared" si="32"/>
        <v>45103</v>
      </c>
      <c r="E108" s="52" t="s">
        <v>19</v>
      </c>
      <c r="F108" s="146">
        <v>9</v>
      </c>
      <c r="G108" s="183">
        <v>51</v>
      </c>
      <c r="H108" s="184">
        <f t="shared" si="25"/>
        <v>11.115245126635072</v>
      </c>
      <c r="I108" s="184">
        <f t="shared" ref="I108:I127" si="34">$J$3</f>
        <v>8.5717057568714825</v>
      </c>
      <c r="J108" s="185">
        <f t="shared" si="2"/>
        <v>437.15699360044562</v>
      </c>
      <c r="K108" s="186">
        <f t="shared" si="30"/>
        <v>566.87750145838868</v>
      </c>
      <c r="L108" s="187">
        <f t="shared" si="33"/>
        <v>-129.72050785794306</v>
      </c>
      <c r="M108" s="188">
        <f t="shared" si="26"/>
        <v>-10.652117377865473</v>
      </c>
      <c r="N108" s="189">
        <f t="shared" si="27"/>
        <v>-140.37262523580853</v>
      </c>
      <c r="O108" s="188">
        <v>0</v>
      </c>
      <c r="P108" s="188">
        <v>0</v>
      </c>
      <c r="Q108" s="188">
        <v>0</v>
      </c>
      <c r="R108" s="189">
        <f t="shared" si="28"/>
        <v>-140.37262523580853</v>
      </c>
    </row>
    <row r="109" spans="1:18" x14ac:dyDescent="0.25">
      <c r="A109" s="146">
        <v>6</v>
      </c>
      <c r="B109" s="181">
        <f t="shared" ref="B109:B148" si="35">DATE($R$1,A109,1)</f>
        <v>45078</v>
      </c>
      <c r="C109" s="201">
        <f t="shared" si="32"/>
        <v>45112</v>
      </c>
      <c r="D109" s="201">
        <f t="shared" si="32"/>
        <v>45131</v>
      </c>
      <c r="E109" s="52" t="s">
        <v>19</v>
      </c>
      <c r="F109" s="146">
        <v>9</v>
      </c>
      <c r="G109" s="183">
        <v>67</v>
      </c>
      <c r="H109" s="184">
        <f t="shared" si="25"/>
        <v>11.115245126635072</v>
      </c>
      <c r="I109" s="184">
        <f t="shared" si="34"/>
        <v>8.5717057568714825</v>
      </c>
      <c r="J109" s="185">
        <f t="shared" ref="J109:J148" si="36">+$G109*I109</f>
        <v>574.30428571038931</v>
      </c>
      <c r="K109" s="186">
        <f t="shared" si="30"/>
        <v>744.72142348454986</v>
      </c>
      <c r="L109" s="191">
        <f t="shared" si="33"/>
        <v>-170.41713777416055</v>
      </c>
      <c r="M109" s="188">
        <f t="shared" si="26"/>
        <v>-13.993958123862486</v>
      </c>
      <c r="N109" s="189">
        <f t="shared" si="27"/>
        <v>-184.41109589802304</v>
      </c>
      <c r="O109" s="188">
        <v>0</v>
      </c>
      <c r="P109" s="188">
        <v>0</v>
      </c>
      <c r="Q109" s="188">
        <v>0</v>
      </c>
      <c r="R109" s="189">
        <f t="shared" si="28"/>
        <v>-184.41109589802304</v>
      </c>
    </row>
    <row r="110" spans="1:18" x14ac:dyDescent="0.25">
      <c r="A110" s="110">
        <v>7</v>
      </c>
      <c r="B110" s="181">
        <f t="shared" si="35"/>
        <v>45108</v>
      </c>
      <c r="C110" s="201">
        <f t="shared" si="32"/>
        <v>45141</v>
      </c>
      <c r="D110" s="201">
        <f t="shared" si="32"/>
        <v>45162</v>
      </c>
      <c r="E110" s="52" t="s">
        <v>19</v>
      </c>
      <c r="F110" s="146">
        <v>9</v>
      </c>
      <c r="G110" s="183">
        <v>66</v>
      </c>
      <c r="H110" s="184">
        <f t="shared" si="25"/>
        <v>11.115245126635072</v>
      </c>
      <c r="I110" s="184">
        <f t="shared" si="34"/>
        <v>8.5717057568714825</v>
      </c>
      <c r="J110" s="185">
        <f t="shared" si="36"/>
        <v>565.73257995351787</v>
      </c>
      <c r="K110" s="192">
        <f t="shared" si="30"/>
        <v>733.6061783579147</v>
      </c>
      <c r="L110" s="191">
        <f t="shared" si="33"/>
        <v>-167.87359840439683</v>
      </c>
      <c r="M110" s="188">
        <f t="shared" si="26"/>
        <v>-13.785093077237672</v>
      </c>
      <c r="N110" s="189">
        <f t="shared" si="27"/>
        <v>-181.65869148163449</v>
      </c>
      <c r="O110" s="188">
        <v>0</v>
      </c>
      <c r="P110" s="188">
        <v>0</v>
      </c>
      <c r="Q110" s="188">
        <v>0</v>
      </c>
      <c r="R110" s="189">
        <f t="shared" si="28"/>
        <v>-181.65869148163449</v>
      </c>
    </row>
    <row r="111" spans="1:18" x14ac:dyDescent="0.25">
      <c r="A111" s="146">
        <v>8</v>
      </c>
      <c r="B111" s="181">
        <f t="shared" si="35"/>
        <v>45139</v>
      </c>
      <c r="C111" s="201">
        <f t="shared" si="32"/>
        <v>45174</v>
      </c>
      <c r="D111" s="201">
        <f t="shared" si="32"/>
        <v>45194</v>
      </c>
      <c r="E111" s="52" t="s">
        <v>19</v>
      </c>
      <c r="F111" s="146">
        <v>9</v>
      </c>
      <c r="G111" s="183">
        <v>61</v>
      </c>
      <c r="H111" s="184">
        <f t="shared" si="25"/>
        <v>11.115245126635072</v>
      </c>
      <c r="I111" s="184">
        <f t="shared" si="34"/>
        <v>8.5717057568714825</v>
      </c>
      <c r="J111" s="185">
        <f t="shared" si="36"/>
        <v>522.87405116916045</v>
      </c>
      <c r="K111" s="192">
        <f t="shared" si="30"/>
        <v>678.02995272473936</v>
      </c>
      <c r="L111" s="191">
        <f t="shared" si="33"/>
        <v>-155.15590155557891</v>
      </c>
      <c r="M111" s="188">
        <f t="shared" si="26"/>
        <v>-12.740767844113606</v>
      </c>
      <c r="N111" s="189">
        <f t="shared" si="27"/>
        <v>-167.89666939969251</v>
      </c>
      <c r="O111" s="188">
        <v>0</v>
      </c>
      <c r="P111" s="188">
        <v>0</v>
      </c>
      <c r="Q111" s="188">
        <v>0</v>
      </c>
      <c r="R111" s="189">
        <f t="shared" si="28"/>
        <v>-167.89666939969251</v>
      </c>
    </row>
    <row r="112" spans="1:18" x14ac:dyDescent="0.25">
      <c r="A112" s="146">
        <v>9</v>
      </c>
      <c r="B112" s="181">
        <f t="shared" si="35"/>
        <v>45170</v>
      </c>
      <c r="C112" s="201">
        <f t="shared" si="32"/>
        <v>45203</v>
      </c>
      <c r="D112" s="201">
        <f t="shared" si="32"/>
        <v>45223</v>
      </c>
      <c r="E112" s="52" t="s">
        <v>19</v>
      </c>
      <c r="F112" s="146">
        <v>9</v>
      </c>
      <c r="G112" s="183">
        <v>55</v>
      </c>
      <c r="H112" s="184">
        <f t="shared" si="25"/>
        <v>11.115245126635072</v>
      </c>
      <c r="I112" s="184">
        <f t="shared" si="34"/>
        <v>8.5717057568714825</v>
      </c>
      <c r="J112" s="185">
        <f t="shared" si="36"/>
        <v>471.44381662793154</v>
      </c>
      <c r="K112" s="192">
        <f t="shared" si="30"/>
        <v>611.33848196492897</v>
      </c>
      <c r="L112" s="191">
        <f t="shared" si="33"/>
        <v>-139.89466533699743</v>
      </c>
      <c r="M112" s="188">
        <f t="shared" si="26"/>
        <v>-11.487577564364727</v>
      </c>
      <c r="N112" s="189">
        <f t="shared" si="27"/>
        <v>-151.38224290136216</v>
      </c>
      <c r="O112" s="188">
        <v>0</v>
      </c>
      <c r="P112" s="188">
        <v>0</v>
      </c>
      <c r="Q112" s="188">
        <v>0</v>
      </c>
      <c r="R112" s="189">
        <f t="shared" si="28"/>
        <v>-151.38224290136216</v>
      </c>
    </row>
    <row r="113" spans="1:18" x14ac:dyDescent="0.25">
      <c r="A113" s="110">
        <v>10</v>
      </c>
      <c r="B113" s="181">
        <f t="shared" si="35"/>
        <v>45200</v>
      </c>
      <c r="C113" s="201">
        <f t="shared" si="32"/>
        <v>45233</v>
      </c>
      <c r="D113" s="201">
        <f t="shared" si="32"/>
        <v>45254</v>
      </c>
      <c r="E113" s="52" t="s">
        <v>19</v>
      </c>
      <c r="F113" s="146">
        <v>9</v>
      </c>
      <c r="G113" s="183">
        <v>59</v>
      </c>
      <c r="H113" s="184">
        <f t="shared" si="25"/>
        <v>11.115245126635072</v>
      </c>
      <c r="I113" s="184">
        <f t="shared" si="34"/>
        <v>8.5717057568714825</v>
      </c>
      <c r="J113" s="185">
        <f t="shared" si="36"/>
        <v>505.73063965541746</v>
      </c>
      <c r="K113" s="192">
        <f t="shared" si="30"/>
        <v>655.79946247146927</v>
      </c>
      <c r="L113" s="191">
        <f t="shared" si="33"/>
        <v>-150.06882281605181</v>
      </c>
      <c r="M113" s="188">
        <f t="shared" si="26"/>
        <v>-12.323037750863978</v>
      </c>
      <c r="N113" s="189">
        <f t="shared" si="27"/>
        <v>-162.3918605669158</v>
      </c>
      <c r="O113" s="188">
        <v>0</v>
      </c>
      <c r="P113" s="188">
        <v>0</v>
      </c>
      <c r="Q113" s="188">
        <v>0</v>
      </c>
      <c r="R113" s="189">
        <f t="shared" si="28"/>
        <v>-162.3918605669158</v>
      </c>
    </row>
    <row r="114" spans="1:18" x14ac:dyDescent="0.25">
      <c r="A114" s="146">
        <v>11</v>
      </c>
      <c r="B114" s="181">
        <f t="shared" si="35"/>
        <v>45231</v>
      </c>
      <c r="C114" s="201">
        <f t="shared" si="32"/>
        <v>45266</v>
      </c>
      <c r="D114" s="201">
        <f t="shared" si="32"/>
        <v>45285</v>
      </c>
      <c r="E114" s="52" t="s">
        <v>19</v>
      </c>
      <c r="F114" s="146">
        <v>9</v>
      </c>
      <c r="G114" s="183">
        <v>63</v>
      </c>
      <c r="H114" s="184">
        <f t="shared" si="25"/>
        <v>11.115245126635072</v>
      </c>
      <c r="I114" s="184">
        <f t="shared" si="34"/>
        <v>8.5717057568714825</v>
      </c>
      <c r="J114" s="185">
        <f t="shared" si="36"/>
        <v>540.01746268290344</v>
      </c>
      <c r="K114" s="192">
        <f t="shared" si="30"/>
        <v>700.26044297800956</v>
      </c>
      <c r="L114" s="191">
        <f t="shared" si="33"/>
        <v>-160.24298029510612</v>
      </c>
      <c r="M114" s="188">
        <f t="shared" si="26"/>
        <v>-13.158497937363231</v>
      </c>
      <c r="N114" s="189">
        <f t="shared" si="27"/>
        <v>-173.40147823246934</v>
      </c>
      <c r="O114" s="188">
        <v>0</v>
      </c>
      <c r="P114" s="188">
        <v>0</v>
      </c>
      <c r="Q114" s="188">
        <v>0</v>
      </c>
      <c r="R114" s="189">
        <f t="shared" si="28"/>
        <v>-173.40147823246934</v>
      </c>
    </row>
    <row r="115" spans="1:18" s="205" customFormat="1" x14ac:dyDescent="0.25">
      <c r="A115" s="146">
        <v>12</v>
      </c>
      <c r="B115" s="203">
        <f t="shared" si="35"/>
        <v>45261</v>
      </c>
      <c r="C115" s="206">
        <f t="shared" si="32"/>
        <v>45294</v>
      </c>
      <c r="D115" s="206">
        <f t="shared" si="32"/>
        <v>45315</v>
      </c>
      <c r="E115" s="204" t="s">
        <v>19</v>
      </c>
      <c r="F115" s="157">
        <v>9</v>
      </c>
      <c r="G115" s="183">
        <v>63</v>
      </c>
      <c r="H115" s="193">
        <f t="shared" si="25"/>
        <v>11.115245126635072</v>
      </c>
      <c r="I115" s="193">
        <f t="shared" si="34"/>
        <v>8.5717057568714825</v>
      </c>
      <c r="J115" s="194">
        <f t="shared" si="36"/>
        <v>540.01746268290344</v>
      </c>
      <c r="K115" s="195">
        <f t="shared" si="30"/>
        <v>700.26044297800956</v>
      </c>
      <c r="L115" s="196">
        <f t="shared" si="33"/>
        <v>-160.24298029510612</v>
      </c>
      <c r="M115" s="188">
        <f t="shared" si="26"/>
        <v>-13.158497937363231</v>
      </c>
      <c r="N115" s="189">
        <f t="shared" si="27"/>
        <v>-173.40147823246934</v>
      </c>
      <c r="O115" s="188">
        <v>0</v>
      </c>
      <c r="P115" s="188">
        <v>0</v>
      </c>
      <c r="Q115" s="188">
        <v>0</v>
      </c>
      <c r="R115" s="189">
        <f t="shared" si="28"/>
        <v>-173.40147823246934</v>
      </c>
    </row>
    <row r="116" spans="1:18" x14ac:dyDescent="0.25">
      <c r="A116" s="110">
        <v>1</v>
      </c>
      <c r="B116" s="181">
        <f t="shared" si="35"/>
        <v>44927</v>
      </c>
      <c r="C116" s="201">
        <f t="shared" si="32"/>
        <v>44960</v>
      </c>
      <c r="D116" s="201">
        <f t="shared" si="32"/>
        <v>44981</v>
      </c>
      <c r="E116" s="182" t="s">
        <v>13</v>
      </c>
      <c r="F116" s="110">
        <v>9</v>
      </c>
      <c r="G116" s="183">
        <v>967</v>
      </c>
      <c r="H116" s="184">
        <f t="shared" si="25"/>
        <v>11.115245126635072</v>
      </c>
      <c r="I116" s="184">
        <f t="shared" si="34"/>
        <v>8.5717057568714825</v>
      </c>
      <c r="J116" s="185">
        <f t="shared" si="36"/>
        <v>8288.839466894724</v>
      </c>
      <c r="K116" s="186">
        <f t="shared" si="30"/>
        <v>10748.442037456114</v>
      </c>
      <c r="L116" s="187">
        <f>+J116-K116</f>
        <v>-2459.6025705613902</v>
      </c>
      <c r="M116" s="188">
        <f t="shared" si="26"/>
        <v>-201.97250008619437</v>
      </c>
      <c r="N116" s="189">
        <f t="shared" si="27"/>
        <v>-2661.5750706475847</v>
      </c>
      <c r="O116" s="188">
        <v>0</v>
      </c>
      <c r="P116" s="188">
        <v>0</v>
      </c>
      <c r="Q116" s="188">
        <v>0</v>
      </c>
      <c r="R116" s="189">
        <f t="shared" si="28"/>
        <v>-2661.5750706475847</v>
      </c>
    </row>
    <row r="117" spans="1:18" x14ac:dyDescent="0.25">
      <c r="A117" s="146">
        <v>2</v>
      </c>
      <c r="B117" s="181">
        <f t="shared" si="35"/>
        <v>44958</v>
      </c>
      <c r="C117" s="201">
        <f t="shared" ref="C117:D139" si="37">+C105</f>
        <v>44988</v>
      </c>
      <c r="D117" s="201">
        <f t="shared" si="37"/>
        <v>45009</v>
      </c>
      <c r="E117" s="190" t="s">
        <v>13</v>
      </c>
      <c r="F117" s="146">
        <v>9</v>
      </c>
      <c r="G117" s="183">
        <v>955</v>
      </c>
      <c r="H117" s="184">
        <f t="shared" si="25"/>
        <v>11.115245126635072</v>
      </c>
      <c r="I117" s="184">
        <f t="shared" si="34"/>
        <v>8.5717057568714825</v>
      </c>
      <c r="J117" s="185">
        <f t="shared" si="36"/>
        <v>8185.9789978122662</v>
      </c>
      <c r="K117" s="186">
        <f t="shared" si="30"/>
        <v>10615.059095936494</v>
      </c>
      <c r="L117" s="187">
        <f>+J117-K117</f>
        <v>-2429.0800981242282</v>
      </c>
      <c r="M117" s="188">
        <f t="shared" si="26"/>
        <v>-199.46611952669662</v>
      </c>
      <c r="N117" s="189">
        <f t="shared" si="27"/>
        <v>-2628.546217650925</v>
      </c>
      <c r="O117" s="188">
        <v>0</v>
      </c>
      <c r="P117" s="188">
        <v>0</v>
      </c>
      <c r="Q117" s="188">
        <v>0</v>
      </c>
      <c r="R117" s="189">
        <f t="shared" si="28"/>
        <v>-2628.546217650925</v>
      </c>
    </row>
    <row r="118" spans="1:18" x14ac:dyDescent="0.25">
      <c r="A118" s="146">
        <v>3</v>
      </c>
      <c r="B118" s="181">
        <f t="shared" si="35"/>
        <v>44986</v>
      </c>
      <c r="C118" s="201">
        <f t="shared" si="37"/>
        <v>45021</v>
      </c>
      <c r="D118" s="201">
        <f t="shared" si="37"/>
        <v>45040</v>
      </c>
      <c r="E118" s="190" t="s">
        <v>13</v>
      </c>
      <c r="F118" s="146">
        <v>9</v>
      </c>
      <c r="G118" s="183">
        <v>872</v>
      </c>
      <c r="H118" s="184">
        <f t="shared" si="25"/>
        <v>11.115245126635072</v>
      </c>
      <c r="I118" s="184">
        <f t="shared" si="34"/>
        <v>8.5717057568714825</v>
      </c>
      <c r="J118" s="185">
        <f t="shared" si="36"/>
        <v>7474.5274199919331</v>
      </c>
      <c r="K118" s="186">
        <f t="shared" si="30"/>
        <v>9692.4937504257832</v>
      </c>
      <c r="L118" s="187">
        <f>+J118-K118</f>
        <v>-2217.9663304338501</v>
      </c>
      <c r="M118" s="188">
        <f t="shared" si="26"/>
        <v>-182.13032065683711</v>
      </c>
      <c r="N118" s="189">
        <f t="shared" si="27"/>
        <v>-2400.0966510906874</v>
      </c>
      <c r="O118" s="188">
        <v>0</v>
      </c>
      <c r="P118" s="188">
        <v>0</v>
      </c>
      <c r="Q118" s="188">
        <v>0</v>
      </c>
      <c r="R118" s="189">
        <f t="shared" si="28"/>
        <v>-2400.0966510906874</v>
      </c>
    </row>
    <row r="119" spans="1:18" x14ac:dyDescent="0.25">
      <c r="A119" s="110">
        <v>4</v>
      </c>
      <c r="B119" s="181">
        <f t="shared" si="35"/>
        <v>45017</v>
      </c>
      <c r="C119" s="201">
        <f t="shared" si="37"/>
        <v>45049</v>
      </c>
      <c r="D119" s="201">
        <f t="shared" si="37"/>
        <v>45070</v>
      </c>
      <c r="E119" s="52" t="s">
        <v>13</v>
      </c>
      <c r="F119" s="146">
        <v>9</v>
      </c>
      <c r="G119" s="183">
        <v>602</v>
      </c>
      <c r="H119" s="184">
        <f t="shared" si="25"/>
        <v>11.115245126635072</v>
      </c>
      <c r="I119" s="184">
        <f t="shared" si="34"/>
        <v>8.5717057568714825</v>
      </c>
      <c r="J119" s="185">
        <f t="shared" si="36"/>
        <v>5160.1668656366328</v>
      </c>
      <c r="K119" s="186">
        <f t="shared" si="30"/>
        <v>6691.3775662343132</v>
      </c>
      <c r="L119" s="187">
        <f t="shared" ref="L119:L127" si="38">+J119-K119</f>
        <v>-1531.2107005976804</v>
      </c>
      <c r="M119" s="188">
        <f t="shared" si="26"/>
        <v>-125.73675806813755</v>
      </c>
      <c r="N119" s="189">
        <f t="shared" si="27"/>
        <v>-1656.947458665818</v>
      </c>
      <c r="O119" s="188">
        <v>0</v>
      </c>
      <c r="P119" s="188">
        <v>0</v>
      </c>
      <c r="Q119" s="188">
        <v>0</v>
      </c>
      <c r="R119" s="189">
        <f t="shared" si="28"/>
        <v>-1656.947458665818</v>
      </c>
    </row>
    <row r="120" spans="1:18" x14ac:dyDescent="0.25">
      <c r="A120" s="146">
        <v>5</v>
      </c>
      <c r="B120" s="181">
        <f t="shared" si="35"/>
        <v>45047</v>
      </c>
      <c r="C120" s="201">
        <f t="shared" si="37"/>
        <v>45082</v>
      </c>
      <c r="D120" s="201">
        <f t="shared" si="37"/>
        <v>45103</v>
      </c>
      <c r="E120" s="52" t="s">
        <v>13</v>
      </c>
      <c r="F120" s="146">
        <v>9</v>
      </c>
      <c r="G120" s="183">
        <v>711</v>
      </c>
      <c r="H120" s="184">
        <f t="shared" si="25"/>
        <v>11.115245126635072</v>
      </c>
      <c r="I120" s="184">
        <f t="shared" si="34"/>
        <v>8.5717057568714825</v>
      </c>
      <c r="J120" s="185">
        <f t="shared" si="36"/>
        <v>6094.482793135624</v>
      </c>
      <c r="K120" s="186">
        <f t="shared" si="30"/>
        <v>7902.9392850375361</v>
      </c>
      <c r="L120" s="187">
        <f t="shared" si="38"/>
        <v>-1808.4564919019122</v>
      </c>
      <c r="M120" s="188">
        <f t="shared" si="26"/>
        <v>-148.50304815024219</v>
      </c>
      <c r="N120" s="189">
        <f t="shared" si="27"/>
        <v>-1956.9595400521544</v>
      </c>
      <c r="O120" s="188">
        <v>0</v>
      </c>
      <c r="P120" s="188">
        <v>0</v>
      </c>
      <c r="Q120" s="188">
        <v>0</v>
      </c>
      <c r="R120" s="189">
        <f t="shared" si="28"/>
        <v>-1956.9595400521544</v>
      </c>
    </row>
    <row r="121" spans="1:18" x14ac:dyDescent="0.25">
      <c r="A121" s="146">
        <v>6</v>
      </c>
      <c r="B121" s="181">
        <f t="shared" si="35"/>
        <v>45078</v>
      </c>
      <c r="C121" s="201">
        <f t="shared" si="37"/>
        <v>45112</v>
      </c>
      <c r="D121" s="201">
        <f t="shared" si="37"/>
        <v>45131</v>
      </c>
      <c r="E121" s="52" t="s">
        <v>13</v>
      </c>
      <c r="F121" s="146">
        <v>9</v>
      </c>
      <c r="G121" s="183">
        <v>936</v>
      </c>
      <c r="H121" s="184">
        <f t="shared" si="25"/>
        <v>11.115245126635072</v>
      </c>
      <c r="I121" s="184">
        <f t="shared" si="34"/>
        <v>8.5717057568714825</v>
      </c>
      <c r="J121" s="185">
        <f t="shared" si="36"/>
        <v>8023.1165884317079</v>
      </c>
      <c r="K121" s="186">
        <f t="shared" si="30"/>
        <v>10403.869438530428</v>
      </c>
      <c r="L121" s="191">
        <f t="shared" si="38"/>
        <v>-2380.75285009872</v>
      </c>
      <c r="M121" s="188">
        <f t="shared" si="26"/>
        <v>-195.49768364082519</v>
      </c>
      <c r="N121" s="189">
        <f t="shared" si="27"/>
        <v>-2576.2505337395451</v>
      </c>
      <c r="O121" s="188">
        <v>0</v>
      </c>
      <c r="P121" s="188">
        <v>0</v>
      </c>
      <c r="Q121" s="188">
        <v>0</v>
      </c>
      <c r="R121" s="189">
        <f t="shared" si="28"/>
        <v>-2576.2505337395451</v>
      </c>
    </row>
    <row r="122" spans="1:18" x14ac:dyDescent="0.25">
      <c r="A122" s="110">
        <v>7</v>
      </c>
      <c r="B122" s="181">
        <f t="shared" si="35"/>
        <v>45108</v>
      </c>
      <c r="C122" s="201">
        <f t="shared" si="37"/>
        <v>45141</v>
      </c>
      <c r="D122" s="201">
        <f t="shared" si="37"/>
        <v>45162</v>
      </c>
      <c r="E122" s="52" t="s">
        <v>13</v>
      </c>
      <c r="F122" s="146">
        <v>9</v>
      </c>
      <c r="G122" s="183">
        <v>932</v>
      </c>
      <c r="H122" s="184">
        <f t="shared" si="25"/>
        <v>11.115245126635072</v>
      </c>
      <c r="I122" s="184">
        <f t="shared" si="34"/>
        <v>8.5717057568714825</v>
      </c>
      <c r="J122" s="185">
        <f t="shared" si="36"/>
        <v>7988.8297654042217</v>
      </c>
      <c r="K122" s="192">
        <f t="shared" si="30"/>
        <v>10359.408458023887</v>
      </c>
      <c r="L122" s="191">
        <f t="shared" si="38"/>
        <v>-2370.5786926196652</v>
      </c>
      <c r="M122" s="188">
        <f t="shared" si="26"/>
        <v>-194.66222345432593</v>
      </c>
      <c r="N122" s="189">
        <f t="shared" si="27"/>
        <v>-2565.2409160739912</v>
      </c>
      <c r="O122" s="188">
        <v>0</v>
      </c>
      <c r="P122" s="188">
        <v>0</v>
      </c>
      <c r="Q122" s="188">
        <v>0</v>
      </c>
      <c r="R122" s="189">
        <f t="shared" si="28"/>
        <v>-2565.2409160739912</v>
      </c>
    </row>
    <row r="123" spans="1:18" x14ac:dyDescent="0.25">
      <c r="A123" s="146">
        <v>8</v>
      </c>
      <c r="B123" s="181">
        <f t="shared" si="35"/>
        <v>45139</v>
      </c>
      <c r="C123" s="201">
        <f t="shared" si="37"/>
        <v>45174</v>
      </c>
      <c r="D123" s="201">
        <f t="shared" si="37"/>
        <v>45194</v>
      </c>
      <c r="E123" s="52" t="s">
        <v>13</v>
      </c>
      <c r="F123" s="146">
        <v>9</v>
      </c>
      <c r="G123" s="183">
        <v>1025</v>
      </c>
      <c r="H123" s="184">
        <f t="shared" si="25"/>
        <v>11.115245126635072</v>
      </c>
      <c r="I123" s="184">
        <f t="shared" si="34"/>
        <v>8.5717057568714825</v>
      </c>
      <c r="J123" s="185">
        <f t="shared" si="36"/>
        <v>8785.998400793269</v>
      </c>
      <c r="K123" s="192">
        <f t="shared" si="30"/>
        <v>11393.126254800949</v>
      </c>
      <c r="L123" s="191">
        <f t="shared" si="38"/>
        <v>-2607.1278540076801</v>
      </c>
      <c r="M123" s="188">
        <f t="shared" si="26"/>
        <v>-214.08667279043354</v>
      </c>
      <c r="N123" s="189">
        <f t="shared" si="27"/>
        <v>-2821.2145267981136</v>
      </c>
      <c r="O123" s="188">
        <v>0</v>
      </c>
      <c r="P123" s="188">
        <v>0</v>
      </c>
      <c r="Q123" s="188">
        <v>0</v>
      </c>
      <c r="R123" s="189">
        <f t="shared" si="28"/>
        <v>-2821.2145267981136</v>
      </c>
    </row>
    <row r="124" spans="1:18" x14ac:dyDescent="0.25">
      <c r="A124" s="146">
        <v>9</v>
      </c>
      <c r="B124" s="181">
        <f t="shared" si="35"/>
        <v>45170</v>
      </c>
      <c r="C124" s="201">
        <f t="shared" si="37"/>
        <v>45203</v>
      </c>
      <c r="D124" s="201">
        <f t="shared" si="37"/>
        <v>45223</v>
      </c>
      <c r="E124" s="52" t="s">
        <v>13</v>
      </c>
      <c r="F124" s="146">
        <v>9</v>
      </c>
      <c r="G124" s="183">
        <v>934</v>
      </c>
      <c r="H124" s="184">
        <f t="shared" si="25"/>
        <v>11.115245126635072</v>
      </c>
      <c r="I124" s="184">
        <f t="shared" si="34"/>
        <v>8.5717057568714825</v>
      </c>
      <c r="J124" s="185">
        <f t="shared" si="36"/>
        <v>8005.9731769179643</v>
      </c>
      <c r="K124" s="192">
        <f t="shared" si="30"/>
        <v>10381.638948277157</v>
      </c>
      <c r="L124" s="191">
        <f t="shared" si="38"/>
        <v>-2375.6657713591931</v>
      </c>
      <c r="M124" s="188">
        <f t="shared" si="26"/>
        <v>-195.07995354757554</v>
      </c>
      <c r="N124" s="189">
        <f t="shared" si="27"/>
        <v>-2570.7457249067684</v>
      </c>
      <c r="O124" s="188">
        <v>0</v>
      </c>
      <c r="P124" s="188">
        <v>0</v>
      </c>
      <c r="Q124" s="188">
        <v>0</v>
      </c>
      <c r="R124" s="189">
        <f t="shared" si="28"/>
        <v>-2570.7457249067684</v>
      </c>
    </row>
    <row r="125" spans="1:18" x14ac:dyDescent="0.25">
      <c r="A125" s="110">
        <v>10</v>
      </c>
      <c r="B125" s="181">
        <f t="shared" si="35"/>
        <v>45200</v>
      </c>
      <c r="C125" s="201">
        <f t="shared" si="37"/>
        <v>45233</v>
      </c>
      <c r="D125" s="201">
        <f t="shared" si="37"/>
        <v>45254</v>
      </c>
      <c r="E125" s="52" t="s">
        <v>13</v>
      </c>
      <c r="F125" s="146">
        <v>9</v>
      </c>
      <c r="G125" s="183">
        <v>700</v>
      </c>
      <c r="H125" s="184">
        <f t="shared" si="25"/>
        <v>11.115245126635072</v>
      </c>
      <c r="I125" s="184">
        <f t="shared" si="34"/>
        <v>8.5717057568714825</v>
      </c>
      <c r="J125" s="185">
        <f t="shared" si="36"/>
        <v>6000.194029810038</v>
      </c>
      <c r="K125" s="192">
        <f t="shared" si="30"/>
        <v>7780.6715886445509</v>
      </c>
      <c r="L125" s="191">
        <f t="shared" si="38"/>
        <v>-1780.4775588345128</v>
      </c>
      <c r="M125" s="188">
        <f t="shared" si="26"/>
        <v>-146.20553263736923</v>
      </c>
      <c r="N125" s="189">
        <f t="shared" si="27"/>
        <v>-1926.6830914718821</v>
      </c>
      <c r="O125" s="188">
        <v>0</v>
      </c>
      <c r="P125" s="188">
        <v>0</v>
      </c>
      <c r="Q125" s="188">
        <v>0</v>
      </c>
      <c r="R125" s="189">
        <f t="shared" si="28"/>
        <v>-1926.6830914718821</v>
      </c>
    </row>
    <row r="126" spans="1:18" x14ac:dyDescent="0.25">
      <c r="A126" s="146">
        <v>11</v>
      </c>
      <c r="B126" s="181">
        <f t="shared" si="35"/>
        <v>45231</v>
      </c>
      <c r="C126" s="201">
        <f t="shared" si="37"/>
        <v>45266</v>
      </c>
      <c r="D126" s="201">
        <f t="shared" si="37"/>
        <v>45285</v>
      </c>
      <c r="E126" s="52" t="s">
        <v>13</v>
      </c>
      <c r="F126" s="146">
        <v>9</v>
      </c>
      <c r="G126" s="183">
        <v>867</v>
      </c>
      <c r="H126" s="184">
        <f t="shared" si="25"/>
        <v>11.115245126635072</v>
      </c>
      <c r="I126" s="184">
        <f t="shared" si="34"/>
        <v>8.5717057568714825</v>
      </c>
      <c r="J126" s="185">
        <f t="shared" si="36"/>
        <v>7431.6688912075751</v>
      </c>
      <c r="K126" s="192">
        <f t="shared" si="30"/>
        <v>9636.9175247926069</v>
      </c>
      <c r="L126" s="191">
        <f t="shared" si="38"/>
        <v>-2205.2486335850317</v>
      </c>
      <c r="M126" s="188">
        <f t="shared" si="26"/>
        <v>-181.08599542371306</v>
      </c>
      <c r="N126" s="189">
        <f t="shared" si="27"/>
        <v>-2386.3346290087447</v>
      </c>
      <c r="O126" s="188">
        <v>0</v>
      </c>
      <c r="P126" s="188">
        <v>0</v>
      </c>
      <c r="Q126" s="188">
        <v>0</v>
      </c>
      <c r="R126" s="189">
        <f t="shared" si="28"/>
        <v>-2386.3346290087447</v>
      </c>
    </row>
    <row r="127" spans="1:18" s="205" customFormat="1" x14ac:dyDescent="0.25">
      <c r="A127" s="146">
        <v>12</v>
      </c>
      <c r="B127" s="203">
        <f t="shared" si="35"/>
        <v>45261</v>
      </c>
      <c r="C127" s="206">
        <f t="shared" si="37"/>
        <v>45294</v>
      </c>
      <c r="D127" s="206">
        <f t="shared" si="37"/>
        <v>45315</v>
      </c>
      <c r="E127" s="204" t="s">
        <v>13</v>
      </c>
      <c r="F127" s="157">
        <v>9</v>
      </c>
      <c r="G127" s="183">
        <v>916</v>
      </c>
      <c r="H127" s="193">
        <f t="shared" si="25"/>
        <v>11.115245126635072</v>
      </c>
      <c r="I127" s="193">
        <f t="shared" si="34"/>
        <v>8.5717057568714825</v>
      </c>
      <c r="J127" s="194">
        <f t="shared" si="36"/>
        <v>7851.6824732942778</v>
      </c>
      <c r="K127" s="195">
        <f t="shared" si="30"/>
        <v>10181.564535997726</v>
      </c>
      <c r="L127" s="196">
        <f t="shared" si="38"/>
        <v>-2329.8820627034484</v>
      </c>
      <c r="M127" s="188">
        <f t="shared" si="26"/>
        <v>-191.32038270832891</v>
      </c>
      <c r="N127" s="189">
        <f t="shared" si="27"/>
        <v>-2521.2024454117773</v>
      </c>
      <c r="O127" s="188">
        <v>0</v>
      </c>
      <c r="P127" s="188">
        <v>0</v>
      </c>
      <c r="Q127" s="188">
        <v>0</v>
      </c>
      <c r="R127" s="189">
        <f t="shared" si="28"/>
        <v>-2521.2024454117773</v>
      </c>
    </row>
    <row r="128" spans="1:18" x14ac:dyDescent="0.25">
      <c r="A128" s="110">
        <v>1</v>
      </c>
      <c r="B128" s="181">
        <f t="shared" si="35"/>
        <v>44927</v>
      </c>
      <c r="C128" s="201">
        <f t="shared" si="37"/>
        <v>44960</v>
      </c>
      <c r="D128" s="201">
        <f t="shared" si="37"/>
        <v>44981</v>
      </c>
      <c r="E128" s="182" t="s">
        <v>15</v>
      </c>
      <c r="F128" s="110">
        <v>9</v>
      </c>
      <c r="G128" s="183">
        <v>6</v>
      </c>
      <c r="H128" s="184">
        <f t="shared" si="25"/>
        <v>11.115245126635072</v>
      </c>
      <c r="I128" s="184">
        <f t="shared" ref="I128:I147" si="39">$J$3</f>
        <v>8.5717057568714825</v>
      </c>
      <c r="J128" s="185">
        <f t="shared" si="36"/>
        <v>51.430234541228899</v>
      </c>
      <c r="K128" s="186">
        <f t="shared" si="30"/>
        <v>66.691470759810429</v>
      </c>
      <c r="L128" s="187">
        <f>+J128-K128</f>
        <v>-15.26123621858153</v>
      </c>
      <c r="M128" s="188">
        <f t="shared" si="26"/>
        <v>-1.2531902797488792</v>
      </c>
      <c r="N128" s="189">
        <f t="shared" si="27"/>
        <v>-16.514426498330408</v>
      </c>
      <c r="O128" s="188">
        <v>0</v>
      </c>
      <c r="P128" s="188">
        <v>0</v>
      </c>
      <c r="Q128" s="188">
        <v>0</v>
      </c>
      <c r="R128" s="189">
        <f t="shared" si="28"/>
        <v>-16.514426498330408</v>
      </c>
    </row>
    <row r="129" spans="1:18" x14ac:dyDescent="0.25">
      <c r="A129" s="146">
        <v>2</v>
      </c>
      <c r="B129" s="181">
        <f t="shared" si="35"/>
        <v>44958</v>
      </c>
      <c r="C129" s="201">
        <f t="shared" si="37"/>
        <v>44988</v>
      </c>
      <c r="D129" s="201">
        <f t="shared" si="37"/>
        <v>45009</v>
      </c>
      <c r="E129" s="190" t="s">
        <v>15</v>
      </c>
      <c r="F129" s="146">
        <v>9</v>
      </c>
      <c r="G129" s="183">
        <v>5</v>
      </c>
      <c r="H129" s="184">
        <f t="shared" si="25"/>
        <v>11.115245126635072</v>
      </c>
      <c r="I129" s="184">
        <f t="shared" si="39"/>
        <v>8.5717057568714825</v>
      </c>
      <c r="J129" s="185">
        <f t="shared" si="36"/>
        <v>42.858528784357411</v>
      </c>
      <c r="K129" s="186">
        <f t="shared" si="30"/>
        <v>55.576225633175362</v>
      </c>
      <c r="L129" s="187">
        <f>+J129-K129</f>
        <v>-12.717696848817951</v>
      </c>
      <c r="M129" s="188">
        <f t="shared" si="26"/>
        <v>-1.044325233124066</v>
      </c>
      <c r="N129" s="189">
        <f t="shared" si="27"/>
        <v>-13.762022081942018</v>
      </c>
      <c r="O129" s="188">
        <v>0</v>
      </c>
      <c r="P129" s="188">
        <v>0</v>
      </c>
      <c r="Q129" s="188">
        <v>0</v>
      </c>
      <c r="R129" s="189">
        <f t="shared" si="28"/>
        <v>-13.762022081942018</v>
      </c>
    </row>
    <row r="130" spans="1:18" x14ac:dyDescent="0.25">
      <c r="A130" s="146">
        <v>3</v>
      </c>
      <c r="B130" s="181">
        <f t="shared" si="35"/>
        <v>44986</v>
      </c>
      <c r="C130" s="201">
        <f t="shared" si="37"/>
        <v>45021</v>
      </c>
      <c r="D130" s="201">
        <f t="shared" si="37"/>
        <v>45040</v>
      </c>
      <c r="E130" s="190" t="s">
        <v>15</v>
      </c>
      <c r="F130" s="146">
        <v>9</v>
      </c>
      <c r="G130" s="183">
        <v>5</v>
      </c>
      <c r="H130" s="184">
        <f t="shared" si="25"/>
        <v>11.115245126635072</v>
      </c>
      <c r="I130" s="184">
        <f t="shared" si="39"/>
        <v>8.5717057568714825</v>
      </c>
      <c r="J130" s="185">
        <f t="shared" si="36"/>
        <v>42.858528784357411</v>
      </c>
      <c r="K130" s="186">
        <f t="shared" si="30"/>
        <v>55.576225633175362</v>
      </c>
      <c r="L130" s="187">
        <f>+J130-K130</f>
        <v>-12.717696848817951</v>
      </c>
      <c r="M130" s="188">
        <f t="shared" si="26"/>
        <v>-1.044325233124066</v>
      </c>
      <c r="N130" s="189">
        <f t="shared" si="27"/>
        <v>-13.762022081942018</v>
      </c>
      <c r="O130" s="188">
        <v>0</v>
      </c>
      <c r="P130" s="188">
        <v>0</v>
      </c>
      <c r="Q130" s="188">
        <v>0</v>
      </c>
      <c r="R130" s="189">
        <f t="shared" si="28"/>
        <v>-13.762022081942018</v>
      </c>
    </row>
    <row r="131" spans="1:18" x14ac:dyDescent="0.25">
      <c r="A131" s="110">
        <v>4</v>
      </c>
      <c r="B131" s="181">
        <f t="shared" si="35"/>
        <v>45017</v>
      </c>
      <c r="C131" s="201">
        <f t="shared" si="37"/>
        <v>45049</v>
      </c>
      <c r="D131" s="201">
        <f t="shared" si="37"/>
        <v>45070</v>
      </c>
      <c r="E131" s="190" t="s">
        <v>15</v>
      </c>
      <c r="F131" s="146">
        <v>9</v>
      </c>
      <c r="G131" s="183">
        <v>7</v>
      </c>
      <c r="H131" s="184">
        <f t="shared" si="25"/>
        <v>11.115245126635072</v>
      </c>
      <c r="I131" s="184">
        <f t="shared" si="39"/>
        <v>8.5717057568714825</v>
      </c>
      <c r="J131" s="185">
        <f t="shared" si="36"/>
        <v>60.001940298100379</v>
      </c>
      <c r="K131" s="186">
        <f t="shared" si="30"/>
        <v>77.806715886445502</v>
      </c>
      <c r="L131" s="187">
        <f t="shared" ref="L131:L141" si="40">+J131-K131</f>
        <v>-17.804775588345123</v>
      </c>
      <c r="M131" s="188">
        <f t="shared" si="26"/>
        <v>-1.4620553263736924</v>
      </c>
      <c r="N131" s="189">
        <f t="shared" si="27"/>
        <v>-19.266830914718817</v>
      </c>
      <c r="O131" s="188">
        <v>0</v>
      </c>
      <c r="P131" s="188">
        <v>0</v>
      </c>
      <c r="Q131" s="188">
        <v>0</v>
      </c>
      <c r="R131" s="189">
        <f t="shared" si="28"/>
        <v>-19.266830914718817</v>
      </c>
    </row>
    <row r="132" spans="1:18" x14ac:dyDescent="0.25">
      <c r="A132" s="146">
        <v>5</v>
      </c>
      <c r="B132" s="181">
        <f t="shared" si="35"/>
        <v>45047</v>
      </c>
      <c r="C132" s="201">
        <f t="shared" si="37"/>
        <v>45082</v>
      </c>
      <c r="D132" s="201">
        <f t="shared" si="37"/>
        <v>45103</v>
      </c>
      <c r="E132" s="52" t="s">
        <v>15</v>
      </c>
      <c r="F132" s="146">
        <v>9</v>
      </c>
      <c r="G132" s="183">
        <v>4</v>
      </c>
      <c r="H132" s="184">
        <f t="shared" si="25"/>
        <v>11.115245126635072</v>
      </c>
      <c r="I132" s="184">
        <f t="shared" si="39"/>
        <v>8.5717057568714825</v>
      </c>
      <c r="J132" s="185">
        <f t="shared" si="36"/>
        <v>34.28682302748593</v>
      </c>
      <c r="K132" s="186">
        <f t="shared" si="30"/>
        <v>44.460980506540288</v>
      </c>
      <c r="L132" s="187">
        <f t="shared" si="40"/>
        <v>-10.174157479054358</v>
      </c>
      <c r="M132" s="188">
        <f t="shared" si="26"/>
        <v>-0.8354601864992528</v>
      </c>
      <c r="N132" s="189">
        <f t="shared" si="27"/>
        <v>-11.009617665553611</v>
      </c>
      <c r="O132" s="188">
        <v>0</v>
      </c>
      <c r="P132" s="188">
        <v>0</v>
      </c>
      <c r="Q132" s="188">
        <v>0</v>
      </c>
      <c r="R132" s="189">
        <f t="shared" si="28"/>
        <v>-11.009617665553611</v>
      </c>
    </row>
    <row r="133" spans="1:18" x14ac:dyDescent="0.25">
      <c r="A133" s="146">
        <v>6</v>
      </c>
      <c r="B133" s="181">
        <f t="shared" si="35"/>
        <v>45078</v>
      </c>
      <c r="C133" s="201">
        <f t="shared" si="37"/>
        <v>45112</v>
      </c>
      <c r="D133" s="201">
        <f t="shared" si="37"/>
        <v>45131</v>
      </c>
      <c r="E133" s="52" t="s">
        <v>15</v>
      </c>
      <c r="F133" s="146">
        <v>9</v>
      </c>
      <c r="G133" s="183">
        <v>14</v>
      </c>
      <c r="H133" s="184">
        <f t="shared" si="25"/>
        <v>11.115245126635072</v>
      </c>
      <c r="I133" s="184">
        <f t="shared" si="39"/>
        <v>8.5717057568714825</v>
      </c>
      <c r="J133" s="185">
        <f t="shared" si="36"/>
        <v>120.00388059620076</v>
      </c>
      <c r="K133" s="186">
        <f t="shared" si="30"/>
        <v>155.613431772891</v>
      </c>
      <c r="L133" s="191">
        <f t="shared" si="40"/>
        <v>-35.609551176690246</v>
      </c>
      <c r="M133" s="188">
        <f t="shared" si="26"/>
        <v>-2.9241106527473848</v>
      </c>
      <c r="N133" s="189">
        <f t="shared" si="27"/>
        <v>-38.533661829437634</v>
      </c>
      <c r="O133" s="188">
        <v>0</v>
      </c>
      <c r="P133" s="188">
        <v>0</v>
      </c>
      <c r="Q133" s="188">
        <v>0</v>
      </c>
      <c r="R133" s="189">
        <f t="shared" si="28"/>
        <v>-38.533661829437634</v>
      </c>
    </row>
    <row r="134" spans="1:18" x14ac:dyDescent="0.25">
      <c r="A134" s="110">
        <v>7</v>
      </c>
      <c r="B134" s="181">
        <f t="shared" si="35"/>
        <v>45108</v>
      </c>
      <c r="C134" s="201">
        <f t="shared" si="37"/>
        <v>45141</v>
      </c>
      <c r="D134" s="201">
        <f t="shared" si="37"/>
        <v>45162</v>
      </c>
      <c r="E134" s="52" t="s">
        <v>15</v>
      </c>
      <c r="F134" s="146">
        <v>9</v>
      </c>
      <c r="G134" s="183">
        <v>13</v>
      </c>
      <c r="H134" s="184">
        <f t="shared" si="25"/>
        <v>11.115245126635072</v>
      </c>
      <c r="I134" s="184">
        <f t="shared" si="39"/>
        <v>8.5717057568714825</v>
      </c>
      <c r="J134" s="185">
        <f t="shared" si="36"/>
        <v>111.43217483932928</v>
      </c>
      <c r="K134" s="192">
        <f t="shared" ref="K134:K197" si="41">+$G134*H134</f>
        <v>144.49818664625593</v>
      </c>
      <c r="L134" s="191">
        <f t="shared" si="40"/>
        <v>-33.066011806926653</v>
      </c>
      <c r="M134" s="188">
        <f t="shared" si="26"/>
        <v>-2.7152456061225716</v>
      </c>
      <c r="N134" s="189">
        <f t="shared" si="27"/>
        <v>-35.781257413049225</v>
      </c>
      <c r="O134" s="188">
        <v>0</v>
      </c>
      <c r="P134" s="188">
        <v>0</v>
      </c>
      <c r="Q134" s="188">
        <v>0</v>
      </c>
      <c r="R134" s="189">
        <f t="shared" si="28"/>
        <v>-35.781257413049225</v>
      </c>
    </row>
    <row r="135" spans="1:18" x14ac:dyDescent="0.25">
      <c r="A135" s="146">
        <v>8</v>
      </c>
      <c r="B135" s="181">
        <f t="shared" si="35"/>
        <v>45139</v>
      </c>
      <c r="C135" s="201">
        <f t="shared" si="37"/>
        <v>45174</v>
      </c>
      <c r="D135" s="201">
        <f t="shared" si="37"/>
        <v>45194</v>
      </c>
      <c r="E135" s="52" t="s">
        <v>15</v>
      </c>
      <c r="F135" s="146">
        <v>9</v>
      </c>
      <c r="G135" s="183">
        <v>19</v>
      </c>
      <c r="H135" s="184">
        <f t="shared" si="25"/>
        <v>11.115245126635072</v>
      </c>
      <c r="I135" s="184">
        <f t="shared" si="39"/>
        <v>8.5717057568714825</v>
      </c>
      <c r="J135" s="185">
        <f t="shared" si="36"/>
        <v>162.86240938055818</v>
      </c>
      <c r="K135" s="192">
        <f t="shared" si="41"/>
        <v>211.18965740606637</v>
      </c>
      <c r="L135" s="191">
        <f t="shared" si="40"/>
        <v>-48.327248025508197</v>
      </c>
      <c r="M135" s="188">
        <f t="shared" si="26"/>
        <v>-3.9684358858714512</v>
      </c>
      <c r="N135" s="189">
        <f t="shared" si="27"/>
        <v>-52.295683911379648</v>
      </c>
      <c r="O135" s="188">
        <v>0</v>
      </c>
      <c r="P135" s="188">
        <v>0</v>
      </c>
      <c r="Q135" s="188">
        <v>0</v>
      </c>
      <c r="R135" s="189">
        <f t="shared" si="28"/>
        <v>-52.295683911379648</v>
      </c>
    </row>
    <row r="136" spans="1:18" x14ac:dyDescent="0.25">
      <c r="A136" s="146">
        <v>9</v>
      </c>
      <c r="B136" s="181">
        <f t="shared" si="35"/>
        <v>45170</v>
      </c>
      <c r="C136" s="201">
        <f t="shared" si="37"/>
        <v>45203</v>
      </c>
      <c r="D136" s="201">
        <f t="shared" si="37"/>
        <v>45223</v>
      </c>
      <c r="E136" s="52" t="s">
        <v>15</v>
      </c>
      <c r="F136" s="146">
        <v>9</v>
      </c>
      <c r="G136" s="183">
        <v>18</v>
      </c>
      <c r="H136" s="184">
        <f t="shared" si="25"/>
        <v>11.115245126635072</v>
      </c>
      <c r="I136" s="184">
        <f t="shared" si="39"/>
        <v>8.5717057568714825</v>
      </c>
      <c r="J136" s="185">
        <f t="shared" si="36"/>
        <v>154.29070362368668</v>
      </c>
      <c r="K136" s="192">
        <f t="shared" si="41"/>
        <v>200.0744122794313</v>
      </c>
      <c r="L136" s="191">
        <f t="shared" si="40"/>
        <v>-45.783708655744618</v>
      </c>
      <c r="M136" s="188">
        <f t="shared" si="26"/>
        <v>-3.7595708392466376</v>
      </c>
      <c r="N136" s="189">
        <f t="shared" si="27"/>
        <v>-49.543279494991253</v>
      </c>
      <c r="O136" s="188">
        <v>0</v>
      </c>
      <c r="P136" s="188">
        <v>0</v>
      </c>
      <c r="Q136" s="188">
        <v>0</v>
      </c>
      <c r="R136" s="189">
        <f t="shared" si="28"/>
        <v>-49.543279494991253</v>
      </c>
    </row>
    <row r="137" spans="1:18" x14ac:dyDescent="0.25">
      <c r="A137" s="110">
        <v>10</v>
      </c>
      <c r="B137" s="181">
        <f t="shared" si="35"/>
        <v>45200</v>
      </c>
      <c r="C137" s="201">
        <f t="shared" si="37"/>
        <v>45233</v>
      </c>
      <c r="D137" s="201">
        <f t="shared" si="37"/>
        <v>45254</v>
      </c>
      <c r="E137" s="52" t="s">
        <v>15</v>
      </c>
      <c r="F137" s="146">
        <v>9</v>
      </c>
      <c r="G137" s="183">
        <v>6</v>
      </c>
      <c r="H137" s="184">
        <f t="shared" si="25"/>
        <v>11.115245126635072</v>
      </c>
      <c r="I137" s="184">
        <f t="shared" si="39"/>
        <v>8.5717057568714825</v>
      </c>
      <c r="J137" s="185">
        <f t="shared" si="36"/>
        <v>51.430234541228899</v>
      </c>
      <c r="K137" s="192">
        <f t="shared" si="41"/>
        <v>66.691470759810429</v>
      </c>
      <c r="L137" s="191">
        <f t="shared" si="40"/>
        <v>-15.26123621858153</v>
      </c>
      <c r="M137" s="188">
        <f t="shared" si="26"/>
        <v>-1.2531902797488792</v>
      </c>
      <c r="N137" s="189">
        <f t="shared" si="27"/>
        <v>-16.514426498330408</v>
      </c>
      <c r="O137" s="188">
        <v>0</v>
      </c>
      <c r="P137" s="188">
        <v>0</v>
      </c>
      <c r="Q137" s="188">
        <v>0</v>
      </c>
      <c r="R137" s="189">
        <f t="shared" si="28"/>
        <v>-16.514426498330408</v>
      </c>
    </row>
    <row r="138" spans="1:18" x14ac:dyDescent="0.25">
      <c r="A138" s="146">
        <v>11</v>
      </c>
      <c r="B138" s="181">
        <f t="shared" si="35"/>
        <v>45231</v>
      </c>
      <c r="C138" s="201">
        <f t="shared" si="37"/>
        <v>45266</v>
      </c>
      <c r="D138" s="201">
        <f t="shared" si="37"/>
        <v>45285</v>
      </c>
      <c r="E138" s="52" t="s">
        <v>15</v>
      </c>
      <c r="F138" s="146">
        <v>9</v>
      </c>
      <c r="G138" s="183">
        <v>6</v>
      </c>
      <c r="H138" s="184">
        <f t="shared" si="25"/>
        <v>11.115245126635072</v>
      </c>
      <c r="I138" s="184">
        <f t="shared" si="39"/>
        <v>8.5717057568714825</v>
      </c>
      <c r="J138" s="185">
        <f t="shared" si="36"/>
        <v>51.430234541228899</v>
      </c>
      <c r="K138" s="192">
        <f t="shared" si="41"/>
        <v>66.691470759810429</v>
      </c>
      <c r="L138" s="191">
        <f t="shared" si="40"/>
        <v>-15.26123621858153</v>
      </c>
      <c r="M138" s="188">
        <f t="shared" si="26"/>
        <v>-1.2531902797488792</v>
      </c>
      <c r="N138" s="189">
        <f t="shared" si="27"/>
        <v>-16.514426498330408</v>
      </c>
      <c r="O138" s="188">
        <v>0</v>
      </c>
      <c r="P138" s="188">
        <v>0</v>
      </c>
      <c r="Q138" s="188">
        <v>0</v>
      </c>
      <c r="R138" s="189">
        <f t="shared" si="28"/>
        <v>-16.514426498330408</v>
      </c>
    </row>
    <row r="139" spans="1:18" s="205" customFormat="1" x14ac:dyDescent="0.25">
      <c r="A139" s="146">
        <v>12</v>
      </c>
      <c r="B139" s="203">
        <f t="shared" si="35"/>
        <v>45261</v>
      </c>
      <c r="C139" s="201">
        <f t="shared" si="37"/>
        <v>45294</v>
      </c>
      <c r="D139" s="201">
        <f t="shared" si="37"/>
        <v>45315</v>
      </c>
      <c r="E139" s="204" t="s">
        <v>15</v>
      </c>
      <c r="F139" s="157">
        <v>9</v>
      </c>
      <c r="G139" s="183">
        <v>5</v>
      </c>
      <c r="H139" s="193">
        <f t="shared" si="25"/>
        <v>11.115245126635072</v>
      </c>
      <c r="I139" s="193">
        <f t="shared" si="39"/>
        <v>8.5717057568714825</v>
      </c>
      <c r="J139" s="194">
        <f t="shared" si="36"/>
        <v>42.858528784357411</v>
      </c>
      <c r="K139" s="195">
        <f t="shared" si="41"/>
        <v>55.576225633175362</v>
      </c>
      <c r="L139" s="196">
        <f t="shared" si="40"/>
        <v>-12.717696848817951</v>
      </c>
      <c r="M139" s="188">
        <f t="shared" si="26"/>
        <v>-1.044325233124066</v>
      </c>
      <c r="N139" s="189">
        <f t="shared" si="27"/>
        <v>-13.762022081942018</v>
      </c>
      <c r="O139" s="188">
        <v>0</v>
      </c>
      <c r="P139" s="188">
        <v>0</v>
      </c>
      <c r="Q139" s="188">
        <v>0</v>
      </c>
      <c r="R139" s="189">
        <f t="shared" si="28"/>
        <v>-13.762022081942018</v>
      </c>
    </row>
    <row r="140" spans="1:18" x14ac:dyDescent="0.25">
      <c r="A140" s="110">
        <v>1</v>
      </c>
      <c r="B140" s="181">
        <f t="shared" si="35"/>
        <v>44927</v>
      </c>
      <c r="C140" s="198">
        <f t="shared" ref="C140:D151" si="42">+C128</f>
        <v>44960</v>
      </c>
      <c r="D140" s="198">
        <f t="shared" si="42"/>
        <v>44981</v>
      </c>
      <c r="E140" s="208" t="s">
        <v>16</v>
      </c>
      <c r="F140" s="146">
        <v>9</v>
      </c>
      <c r="G140" s="183">
        <v>4</v>
      </c>
      <c r="H140" s="184">
        <f t="shared" si="25"/>
        <v>11.115245126635072</v>
      </c>
      <c r="I140" s="184">
        <f t="shared" si="39"/>
        <v>8.5717057568714825</v>
      </c>
      <c r="J140" s="185">
        <f t="shared" si="36"/>
        <v>34.28682302748593</v>
      </c>
      <c r="K140" s="186">
        <f t="shared" si="41"/>
        <v>44.460980506540288</v>
      </c>
      <c r="L140" s="187">
        <f t="shared" si="40"/>
        <v>-10.174157479054358</v>
      </c>
      <c r="M140" s="188">
        <f t="shared" si="26"/>
        <v>-0.8354601864992528</v>
      </c>
      <c r="N140" s="189">
        <f t="shared" si="27"/>
        <v>-11.009617665553611</v>
      </c>
      <c r="O140" s="188">
        <v>0</v>
      </c>
      <c r="P140" s="188">
        <v>0</v>
      </c>
      <c r="Q140" s="188">
        <v>0</v>
      </c>
      <c r="R140" s="189">
        <f t="shared" si="28"/>
        <v>-11.009617665553611</v>
      </c>
    </row>
    <row r="141" spans="1:18" x14ac:dyDescent="0.25">
      <c r="A141" s="146">
        <v>2</v>
      </c>
      <c r="B141" s="181">
        <f t="shared" si="35"/>
        <v>44958</v>
      </c>
      <c r="C141" s="201">
        <f t="shared" si="42"/>
        <v>44988</v>
      </c>
      <c r="D141" s="201">
        <f t="shared" si="42"/>
        <v>45009</v>
      </c>
      <c r="E141" s="52" t="s">
        <v>16</v>
      </c>
      <c r="F141" s="146">
        <v>9</v>
      </c>
      <c r="G141" s="183">
        <v>5</v>
      </c>
      <c r="H141" s="184">
        <f t="shared" si="25"/>
        <v>11.115245126635072</v>
      </c>
      <c r="I141" s="184">
        <f t="shared" si="39"/>
        <v>8.5717057568714825</v>
      </c>
      <c r="J141" s="185">
        <f t="shared" si="36"/>
        <v>42.858528784357411</v>
      </c>
      <c r="K141" s="186">
        <f t="shared" si="41"/>
        <v>55.576225633175362</v>
      </c>
      <c r="L141" s="187">
        <f t="shared" si="40"/>
        <v>-12.717696848817951</v>
      </c>
      <c r="M141" s="188">
        <f t="shared" si="26"/>
        <v>-1.044325233124066</v>
      </c>
      <c r="N141" s="189">
        <f t="shared" si="27"/>
        <v>-13.762022081942018</v>
      </c>
      <c r="O141" s="188">
        <v>0</v>
      </c>
      <c r="P141" s="188">
        <v>0</v>
      </c>
      <c r="Q141" s="188">
        <v>0</v>
      </c>
      <c r="R141" s="189">
        <f t="shared" si="28"/>
        <v>-13.762022081942018</v>
      </c>
    </row>
    <row r="142" spans="1:18" x14ac:dyDescent="0.25">
      <c r="A142" s="146">
        <v>3</v>
      </c>
      <c r="B142" s="181">
        <f t="shared" si="35"/>
        <v>44986</v>
      </c>
      <c r="C142" s="201">
        <f t="shared" si="42"/>
        <v>45021</v>
      </c>
      <c r="D142" s="201">
        <f t="shared" si="42"/>
        <v>45040</v>
      </c>
      <c r="E142" s="52" t="s">
        <v>16</v>
      </c>
      <c r="F142" s="146">
        <v>9</v>
      </c>
      <c r="G142" s="183">
        <v>1</v>
      </c>
      <c r="H142" s="184">
        <f t="shared" si="25"/>
        <v>11.115245126635072</v>
      </c>
      <c r="I142" s="184">
        <f t="shared" si="39"/>
        <v>8.5717057568714825</v>
      </c>
      <c r="J142" s="185">
        <f t="shared" si="36"/>
        <v>8.5717057568714825</v>
      </c>
      <c r="K142" s="186">
        <f t="shared" si="41"/>
        <v>11.115245126635072</v>
      </c>
      <c r="L142" s="187">
        <f>+J142-K142</f>
        <v>-2.5435393697635895</v>
      </c>
      <c r="M142" s="188">
        <f t="shared" si="26"/>
        <v>-0.2088650466248132</v>
      </c>
      <c r="N142" s="189">
        <f t="shared" si="27"/>
        <v>-2.7524044163884027</v>
      </c>
      <c r="O142" s="188">
        <v>0</v>
      </c>
      <c r="P142" s="188">
        <v>0</v>
      </c>
      <c r="Q142" s="188">
        <v>0</v>
      </c>
      <c r="R142" s="189">
        <f t="shared" si="28"/>
        <v>-2.7524044163884027</v>
      </c>
    </row>
    <row r="143" spans="1:18" x14ac:dyDescent="0.25">
      <c r="A143" s="110">
        <v>4</v>
      </c>
      <c r="B143" s="181">
        <f t="shared" si="35"/>
        <v>45017</v>
      </c>
      <c r="C143" s="201">
        <f t="shared" si="42"/>
        <v>45049</v>
      </c>
      <c r="D143" s="201">
        <f t="shared" si="42"/>
        <v>45070</v>
      </c>
      <c r="E143" s="52" t="s">
        <v>16</v>
      </c>
      <c r="F143" s="146">
        <v>9</v>
      </c>
      <c r="G143" s="183">
        <v>7</v>
      </c>
      <c r="H143" s="184">
        <f t="shared" si="25"/>
        <v>11.115245126635072</v>
      </c>
      <c r="I143" s="184">
        <f t="shared" si="39"/>
        <v>8.5717057568714825</v>
      </c>
      <c r="J143" s="185">
        <f t="shared" si="36"/>
        <v>60.001940298100379</v>
      </c>
      <c r="K143" s="186">
        <f t="shared" si="41"/>
        <v>77.806715886445502</v>
      </c>
      <c r="L143" s="187">
        <f t="shared" ref="L143:L153" si="43">+J143-K143</f>
        <v>-17.804775588345123</v>
      </c>
      <c r="M143" s="188">
        <f t="shared" si="26"/>
        <v>-1.4620553263736924</v>
      </c>
      <c r="N143" s="189">
        <f t="shared" si="27"/>
        <v>-19.266830914718817</v>
      </c>
      <c r="O143" s="188">
        <v>0</v>
      </c>
      <c r="P143" s="188">
        <v>0</v>
      </c>
      <c r="Q143" s="188">
        <v>0</v>
      </c>
      <c r="R143" s="189">
        <f t="shared" si="28"/>
        <v>-19.266830914718817</v>
      </c>
    </row>
    <row r="144" spans="1:18" x14ac:dyDescent="0.25">
      <c r="A144" s="146">
        <v>5</v>
      </c>
      <c r="B144" s="181">
        <f t="shared" si="35"/>
        <v>45047</v>
      </c>
      <c r="C144" s="201">
        <f t="shared" si="42"/>
        <v>45082</v>
      </c>
      <c r="D144" s="201">
        <f t="shared" si="42"/>
        <v>45103</v>
      </c>
      <c r="E144" s="52" t="s">
        <v>16</v>
      </c>
      <c r="F144" s="146">
        <v>9</v>
      </c>
      <c r="G144" s="183">
        <v>3</v>
      </c>
      <c r="H144" s="184">
        <f t="shared" si="25"/>
        <v>11.115245126635072</v>
      </c>
      <c r="I144" s="184">
        <f t="shared" si="39"/>
        <v>8.5717057568714825</v>
      </c>
      <c r="J144" s="185">
        <f t="shared" si="36"/>
        <v>25.715117270614449</v>
      </c>
      <c r="K144" s="186">
        <f t="shared" si="41"/>
        <v>33.345735379905214</v>
      </c>
      <c r="L144" s="187">
        <f t="shared" si="43"/>
        <v>-7.630618109290765</v>
      </c>
      <c r="M144" s="188">
        <f t="shared" si="26"/>
        <v>-0.6265951398744396</v>
      </c>
      <c r="N144" s="189">
        <f t="shared" si="27"/>
        <v>-8.2572132491652042</v>
      </c>
      <c r="O144" s="188">
        <v>0</v>
      </c>
      <c r="P144" s="188">
        <v>0</v>
      </c>
      <c r="Q144" s="188">
        <v>0</v>
      </c>
      <c r="R144" s="189">
        <f t="shared" si="28"/>
        <v>-8.2572132491652042</v>
      </c>
    </row>
    <row r="145" spans="1:19" x14ac:dyDescent="0.25">
      <c r="A145" s="146">
        <v>6</v>
      </c>
      <c r="B145" s="181">
        <f t="shared" si="35"/>
        <v>45078</v>
      </c>
      <c r="C145" s="201">
        <f t="shared" si="42"/>
        <v>45112</v>
      </c>
      <c r="D145" s="201">
        <f t="shared" si="42"/>
        <v>45131</v>
      </c>
      <c r="E145" s="52" t="s">
        <v>16</v>
      </c>
      <c r="F145" s="146">
        <v>9</v>
      </c>
      <c r="G145" s="183">
        <v>7</v>
      </c>
      <c r="H145" s="184">
        <f t="shared" si="25"/>
        <v>11.115245126635072</v>
      </c>
      <c r="I145" s="184">
        <f t="shared" si="39"/>
        <v>8.5717057568714825</v>
      </c>
      <c r="J145" s="185">
        <f t="shared" si="36"/>
        <v>60.001940298100379</v>
      </c>
      <c r="K145" s="186">
        <f t="shared" si="41"/>
        <v>77.806715886445502</v>
      </c>
      <c r="L145" s="191">
        <f t="shared" si="43"/>
        <v>-17.804775588345123</v>
      </c>
      <c r="M145" s="188">
        <f t="shared" si="26"/>
        <v>-1.4620553263736924</v>
      </c>
      <c r="N145" s="189">
        <f t="shared" si="27"/>
        <v>-19.266830914718817</v>
      </c>
      <c r="O145" s="188">
        <v>0</v>
      </c>
      <c r="P145" s="188">
        <v>0</v>
      </c>
      <c r="Q145" s="188">
        <v>0</v>
      </c>
      <c r="R145" s="189">
        <f t="shared" si="28"/>
        <v>-19.266830914718817</v>
      </c>
    </row>
    <row r="146" spans="1:19" x14ac:dyDescent="0.25">
      <c r="A146" s="110">
        <v>7</v>
      </c>
      <c r="B146" s="181">
        <f t="shared" si="35"/>
        <v>45108</v>
      </c>
      <c r="C146" s="201">
        <f t="shared" si="42"/>
        <v>45141</v>
      </c>
      <c r="D146" s="201">
        <f t="shared" si="42"/>
        <v>45162</v>
      </c>
      <c r="E146" s="52" t="s">
        <v>16</v>
      </c>
      <c r="F146" s="146">
        <v>9</v>
      </c>
      <c r="G146" s="183">
        <v>5</v>
      </c>
      <c r="H146" s="184">
        <f t="shared" si="25"/>
        <v>11.115245126635072</v>
      </c>
      <c r="I146" s="184">
        <f t="shared" si="39"/>
        <v>8.5717057568714825</v>
      </c>
      <c r="J146" s="185">
        <f t="shared" si="36"/>
        <v>42.858528784357411</v>
      </c>
      <c r="K146" s="192">
        <f t="shared" si="41"/>
        <v>55.576225633175362</v>
      </c>
      <c r="L146" s="191">
        <f t="shared" si="43"/>
        <v>-12.717696848817951</v>
      </c>
      <c r="M146" s="188">
        <f t="shared" si="26"/>
        <v>-1.044325233124066</v>
      </c>
      <c r="N146" s="189">
        <f t="shared" si="27"/>
        <v>-13.762022081942018</v>
      </c>
      <c r="O146" s="188">
        <v>0</v>
      </c>
      <c r="P146" s="188">
        <v>0</v>
      </c>
      <c r="Q146" s="188">
        <v>0</v>
      </c>
      <c r="R146" s="189">
        <f t="shared" si="28"/>
        <v>-13.762022081942018</v>
      </c>
    </row>
    <row r="147" spans="1:19" x14ac:dyDescent="0.25">
      <c r="A147" s="146">
        <v>8</v>
      </c>
      <c r="B147" s="181">
        <f t="shared" si="35"/>
        <v>45139</v>
      </c>
      <c r="C147" s="201">
        <f t="shared" si="42"/>
        <v>45174</v>
      </c>
      <c r="D147" s="201">
        <f t="shared" si="42"/>
        <v>45194</v>
      </c>
      <c r="E147" s="52" t="s">
        <v>16</v>
      </c>
      <c r="F147" s="146">
        <v>9</v>
      </c>
      <c r="G147" s="183">
        <v>5</v>
      </c>
      <c r="H147" s="184">
        <f t="shared" si="25"/>
        <v>11.115245126635072</v>
      </c>
      <c r="I147" s="184">
        <f t="shared" si="39"/>
        <v>8.5717057568714825</v>
      </c>
      <c r="J147" s="185">
        <f t="shared" si="36"/>
        <v>42.858528784357411</v>
      </c>
      <c r="K147" s="192">
        <f t="shared" si="41"/>
        <v>55.576225633175362</v>
      </c>
      <c r="L147" s="191">
        <f t="shared" si="43"/>
        <v>-12.717696848817951</v>
      </c>
      <c r="M147" s="188">
        <f t="shared" si="26"/>
        <v>-1.044325233124066</v>
      </c>
      <c r="N147" s="189">
        <f t="shared" si="27"/>
        <v>-13.762022081942018</v>
      </c>
      <c r="O147" s="188">
        <v>0</v>
      </c>
      <c r="P147" s="188">
        <v>0</v>
      </c>
      <c r="Q147" s="188">
        <v>0</v>
      </c>
      <c r="R147" s="189">
        <f t="shared" si="28"/>
        <v>-13.762022081942018</v>
      </c>
    </row>
    <row r="148" spans="1:19" x14ac:dyDescent="0.25">
      <c r="A148" s="146">
        <v>9</v>
      </c>
      <c r="B148" s="181">
        <f t="shared" si="35"/>
        <v>45170</v>
      </c>
      <c r="C148" s="201">
        <f t="shared" si="42"/>
        <v>45203</v>
      </c>
      <c r="D148" s="201">
        <f t="shared" si="42"/>
        <v>45223</v>
      </c>
      <c r="E148" s="52" t="s">
        <v>16</v>
      </c>
      <c r="F148" s="146">
        <v>9</v>
      </c>
      <c r="G148" s="183">
        <v>6</v>
      </c>
      <c r="H148" s="184">
        <f t="shared" si="25"/>
        <v>11.115245126635072</v>
      </c>
      <c r="I148" s="184">
        <f t="shared" ref="I148:I179" si="44">$J$3</f>
        <v>8.5717057568714825</v>
      </c>
      <c r="J148" s="185">
        <f t="shared" si="36"/>
        <v>51.430234541228899</v>
      </c>
      <c r="K148" s="192">
        <f t="shared" si="41"/>
        <v>66.691470759810429</v>
      </c>
      <c r="L148" s="191">
        <f t="shared" si="43"/>
        <v>-15.26123621858153</v>
      </c>
      <c r="M148" s="188">
        <f t="shared" si="26"/>
        <v>-1.2531902797488792</v>
      </c>
      <c r="N148" s="189">
        <f t="shared" si="27"/>
        <v>-16.514426498330408</v>
      </c>
      <c r="O148" s="188">
        <v>0</v>
      </c>
      <c r="P148" s="188">
        <v>0</v>
      </c>
      <c r="Q148" s="188">
        <v>0</v>
      </c>
      <c r="R148" s="189">
        <f t="shared" si="28"/>
        <v>-16.514426498330408</v>
      </c>
    </row>
    <row r="149" spans="1:19" x14ac:dyDescent="0.25">
      <c r="A149" s="110">
        <v>10</v>
      </c>
      <c r="B149" s="181">
        <f t="shared" ref="B149:B211" si="45">DATE($R$1,A149,1)</f>
        <v>45200</v>
      </c>
      <c r="C149" s="201">
        <f t="shared" si="42"/>
        <v>45233</v>
      </c>
      <c r="D149" s="201">
        <f t="shared" si="42"/>
        <v>45254</v>
      </c>
      <c r="E149" s="52" t="s">
        <v>16</v>
      </c>
      <c r="F149" s="146">
        <v>9</v>
      </c>
      <c r="G149" s="183">
        <v>5</v>
      </c>
      <c r="H149" s="184">
        <f t="shared" ref="H149:H211" si="46">+$K$3</f>
        <v>11.115245126635072</v>
      </c>
      <c r="I149" s="184">
        <f t="shared" si="44"/>
        <v>8.5717057568714825</v>
      </c>
      <c r="J149" s="185">
        <f t="shared" ref="J149:J211" si="47">+$G149*I149</f>
        <v>42.858528784357411</v>
      </c>
      <c r="K149" s="192">
        <f t="shared" si="41"/>
        <v>55.576225633175362</v>
      </c>
      <c r="L149" s="191">
        <f t="shared" si="43"/>
        <v>-12.717696848817951</v>
      </c>
      <c r="M149" s="188">
        <f t="shared" ref="M149:M211" si="48">G149/$G$212*$M$14</f>
        <v>-1.044325233124066</v>
      </c>
      <c r="N149" s="189">
        <f t="shared" ref="N149:N211" si="49">SUM(L149:M149)</f>
        <v>-13.762022081942018</v>
      </c>
      <c r="O149" s="188">
        <v>0</v>
      </c>
      <c r="P149" s="188">
        <v>0</v>
      </c>
      <c r="Q149" s="188">
        <v>0</v>
      </c>
      <c r="R149" s="189">
        <f t="shared" ref="R149:R211" si="50">+N149-Q149</f>
        <v>-13.762022081942018</v>
      </c>
    </row>
    <row r="150" spans="1:19" x14ac:dyDescent="0.25">
      <c r="A150" s="146">
        <v>11</v>
      </c>
      <c r="B150" s="181">
        <f t="shared" si="45"/>
        <v>45231</v>
      </c>
      <c r="C150" s="201">
        <f t="shared" si="42"/>
        <v>45266</v>
      </c>
      <c r="D150" s="201">
        <f t="shared" si="42"/>
        <v>45285</v>
      </c>
      <c r="E150" s="52" t="s">
        <v>16</v>
      </c>
      <c r="F150" s="146">
        <v>9</v>
      </c>
      <c r="G150" s="183">
        <v>4</v>
      </c>
      <c r="H150" s="184">
        <f t="shared" si="46"/>
        <v>11.115245126635072</v>
      </c>
      <c r="I150" s="184">
        <f t="shared" si="44"/>
        <v>8.5717057568714825</v>
      </c>
      <c r="J150" s="185">
        <f t="shared" si="47"/>
        <v>34.28682302748593</v>
      </c>
      <c r="K150" s="192">
        <f t="shared" si="41"/>
        <v>44.460980506540288</v>
      </c>
      <c r="L150" s="191">
        <f t="shared" si="43"/>
        <v>-10.174157479054358</v>
      </c>
      <c r="M150" s="188">
        <f t="shared" si="48"/>
        <v>-0.8354601864992528</v>
      </c>
      <c r="N150" s="189">
        <f t="shared" si="49"/>
        <v>-11.009617665553611</v>
      </c>
      <c r="O150" s="188">
        <v>0</v>
      </c>
      <c r="P150" s="188">
        <v>0</v>
      </c>
      <c r="Q150" s="188">
        <v>0</v>
      </c>
      <c r="R150" s="189">
        <f t="shared" si="50"/>
        <v>-11.009617665553611</v>
      </c>
    </row>
    <row r="151" spans="1:19" s="205" customFormat="1" x14ac:dyDescent="0.25">
      <c r="A151" s="146">
        <v>12</v>
      </c>
      <c r="B151" s="203">
        <f t="shared" si="45"/>
        <v>45261</v>
      </c>
      <c r="C151" s="201">
        <f t="shared" si="42"/>
        <v>45294</v>
      </c>
      <c r="D151" s="201">
        <f t="shared" si="42"/>
        <v>45315</v>
      </c>
      <c r="E151" s="204" t="s">
        <v>16</v>
      </c>
      <c r="F151" s="157">
        <v>9</v>
      </c>
      <c r="G151" s="183">
        <v>4</v>
      </c>
      <c r="H151" s="193">
        <f t="shared" si="46"/>
        <v>11.115245126635072</v>
      </c>
      <c r="I151" s="193">
        <f t="shared" si="44"/>
        <v>8.5717057568714825</v>
      </c>
      <c r="J151" s="194">
        <f t="shared" si="47"/>
        <v>34.28682302748593</v>
      </c>
      <c r="K151" s="195">
        <f t="shared" si="41"/>
        <v>44.460980506540288</v>
      </c>
      <c r="L151" s="196">
        <f t="shared" si="43"/>
        <v>-10.174157479054358</v>
      </c>
      <c r="M151" s="188">
        <f t="shared" si="48"/>
        <v>-0.8354601864992528</v>
      </c>
      <c r="N151" s="189">
        <f t="shared" si="49"/>
        <v>-11.009617665553611</v>
      </c>
      <c r="O151" s="188">
        <v>0</v>
      </c>
      <c r="P151" s="188">
        <v>0</v>
      </c>
      <c r="Q151" s="188">
        <v>0</v>
      </c>
      <c r="R151" s="189">
        <f t="shared" si="50"/>
        <v>-11.009617665553611</v>
      </c>
    </row>
    <row r="152" spans="1:19" x14ac:dyDescent="0.25">
      <c r="A152" s="110">
        <v>1</v>
      </c>
      <c r="B152" s="181">
        <f t="shared" si="45"/>
        <v>44927</v>
      </c>
      <c r="C152" s="198">
        <f t="shared" ref="C152:D171" si="51">+C140</f>
        <v>44960</v>
      </c>
      <c r="D152" s="198">
        <f t="shared" si="51"/>
        <v>44981</v>
      </c>
      <c r="E152" s="208" t="s">
        <v>54</v>
      </c>
      <c r="F152" s="110">
        <v>9</v>
      </c>
      <c r="G152" s="183">
        <v>113</v>
      </c>
      <c r="H152" s="184">
        <f t="shared" si="46"/>
        <v>11.115245126635072</v>
      </c>
      <c r="I152" s="184">
        <f t="shared" si="44"/>
        <v>8.5717057568714825</v>
      </c>
      <c r="J152" s="185">
        <f t="shared" si="47"/>
        <v>968.60275052647751</v>
      </c>
      <c r="K152" s="186">
        <f t="shared" si="41"/>
        <v>1256.0226993097631</v>
      </c>
      <c r="L152" s="187">
        <f t="shared" si="43"/>
        <v>-287.41994878328558</v>
      </c>
      <c r="M152" s="188">
        <f t="shared" si="48"/>
        <v>-23.60175026860389</v>
      </c>
      <c r="N152" s="189">
        <f t="shared" si="49"/>
        <v>-311.02169905188947</v>
      </c>
      <c r="O152" s="188">
        <v>0</v>
      </c>
      <c r="P152" s="188">
        <v>0</v>
      </c>
      <c r="Q152" s="188">
        <v>0</v>
      </c>
      <c r="R152" s="189">
        <f t="shared" si="50"/>
        <v>-311.02169905188947</v>
      </c>
    </row>
    <row r="153" spans="1:19" x14ac:dyDescent="0.25">
      <c r="A153" s="146">
        <v>2</v>
      </c>
      <c r="B153" s="181">
        <f t="shared" si="45"/>
        <v>44958</v>
      </c>
      <c r="C153" s="201">
        <f t="shared" si="51"/>
        <v>44988</v>
      </c>
      <c r="D153" s="201">
        <f t="shared" si="51"/>
        <v>45009</v>
      </c>
      <c r="E153" s="209" t="s">
        <v>54</v>
      </c>
      <c r="F153" s="146">
        <v>9</v>
      </c>
      <c r="G153" s="183">
        <v>108</v>
      </c>
      <c r="H153" s="184">
        <f t="shared" si="46"/>
        <v>11.115245126635072</v>
      </c>
      <c r="I153" s="184">
        <f t="shared" si="44"/>
        <v>8.5717057568714825</v>
      </c>
      <c r="J153" s="185">
        <f t="shared" si="47"/>
        <v>925.74422174212009</v>
      </c>
      <c r="K153" s="186">
        <f t="shared" si="41"/>
        <v>1200.4464736765879</v>
      </c>
      <c r="L153" s="187">
        <f t="shared" si="43"/>
        <v>-274.70225193446777</v>
      </c>
      <c r="M153" s="188">
        <f t="shared" si="48"/>
        <v>-22.557425035479827</v>
      </c>
      <c r="N153" s="189">
        <f t="shared" si="49"/>
        <v>-297.25967696994758</v>
      </c>
      <c r="O153" s="188">
        <v>0</v>
      </c>
      <c r="P153" s="188">
        <v>0</v>
      </c>
      <c r="Q153" s="188">
        <v>0</v>
      </c>
      <c r="R153" s="189">
        <f t="shared" si="50"/>
        <v>-297.25967696994758</v>
      </c>
    </row>
    <row r="154" spans="1:19" x14ac:dyDescent="0.25">
      <c r="A154" s="146">
        <v>3</v>
      </c>
      <c r="B154" s="181">
        <f t="shared" si="45"/>
        <v>44986</v>
      </c>
      <c r="C154" s="201">
        <f t="shared" si="51"/>
        <v>45021</v>
      </c>
      <c r="D154" s="201">
        <f t="shared" si="51"/>
        <v>45040</v>
      </c>
      <c r="E154" s="209" t="s">
        <v>54</v>
      </c>
      <c r="F154" s="146">
        <v>9</v>
      </c>
      <c r="G154" s="183">
        <v>96</v>
      </c>
      <c r="H154" s="184">
        <f t="shared" si="46"/>
        <v>11.115245126635072</v>
      </c>
      <c r="I154" s="184">
        <f t="shared" si="44"/>
        <v>8.5717057568714825</v>
      </c>
      <c r="J154" s="185">
        <f t="shared" si="47"/>
        <v>822.88375265966238</v>
      </c>
      <c r="K154" s="186">
        <f t="shared" si="41"/>
        <v>1067.0635321569669</v>
      </c>
      <c r="L154" s="187">
        <f>+J154-K154</f>
        <v>-244.17977949730448</v>
      </c>
      <c r="M154" s="188">
        <f t="shared" si="48"/>
        <v>-20.051044475982067</v>
      </c>
      <c r="N154" s="189">
        <f t="shared" si="49"/>
        <v>-264.23082397328653</v>
      </c>
      <c r="O154" s="188">
        <v>0</v>
      </c>
      <c r="P154" s="188">
        <v>0</v>
      </c>
      <c r="Q154" s="188">
        <v>0</v>
      </c>
      <c r="R154" s="189">
        <f t="shared" si="50"/>
        <v>-264.23082397328653</v>
      </c>
    </row>
    <row r="155" spans="1:19" x14ac:dyDescent="0.25">
      <c r="A155" s="110">
        <v>4</v>
      </c>
      <c r="B155" s="181">
        <f t="shared" si="45"/>
        <v>45017</v>
      </c>
      <c r="C155" s="201">
        <f t="shared" si="51"/>
        <v>45049</v>
      </c>
      <c r="D155" s="201">
        <f t="shared" si="51"/>
        <v>45070</v>
      </c>
      <c r="E155" s="209" t="s">
        <v>54</v>
      </c>
      <c r="F155" s="146">
        <v>9</v>
      </c>
      <c r="G155" s="183">
        <v>91</v>
      </c>
      <c r="H155" s="184">
        <f t="shared" si="46"/>
        <v>11.115245126635072</v>
      </c>
      <c r="I155" s="184">
        <f t="shared" si="44"/>
        <v>8.5717057568714825</v>
      </c>
      <c r="J155" s="185">
        <f t="shared" si="47"/>
        <v>780.02522387530496</v>
      </c>
      <c r="K155" s="186">
        <f t="shared" si="41"/>
        <v>1011.4873065237915</v>
      </c>
      <c r="L155" s="187">
        <f t="shared" ref="L155:L165" si="52">+J155-K155</f>
        <v>-231.46208264848656</v>
      </c>
      <c r="M155" s="188">
        <f t="shared" si="48"/>
        <v>-19.006719242858001</v>
      </c>
      <c r="N155" s="189">
        <f t="shared" si="49"/>
        <v>-250.46880189134455</v>
      </c>
      <c r="O155" s="188">
        <v>0</v>
      </c>
      <c r="P155" s="188">
        <v>0</v>
      </c>
      <c r="Q155" s="188">
        <v>0</v>
      </c>
      <c r="R155" s="189">
        <f t="shared" si="50"/>
        <v>-250.46880189134455</v>
      </c>
    </row>
    <row r="156" spans="1:19" x14ac:dyDescent="0.25">
      <c r="A156" s="146">
        <v>5</v>
      </c>
      <c r="B156" s="181">
        <f t="shared" si="45"/>
        <v>45047</v>
      </c>
      <c r="C156" s="201">
        <f t="shared" si="51"/>
        <v>45082</v>
      </c>
      <c r="D156" s="201">
        <f t="shared" si="51"/>
        <v>45103</v>
      </c>
      <c r="E156" s="209" t="s">
        <v>54</v>
      </c>
      <c r="F156" s="146">
        <v>9</v>
      </c>
      <c r="G156" s="183">
        <v>125</v>
      </c>
      <c r="H156" s="184">
        <f t="shared" si="46"/>
        <v>11.115245126635072</v>
      </c>
      <c r="I156" s="184">
        <f t="shared" si="44"/>
        <v>8.5717057568714825</v>
      </c>
      <c r="J156" s="185">
        <f t="shared" si="47"/>
        <v>1071.4632196089353</v>
      </c>
      <c r="K156" s="186">
        <f t="shared" si="41"/>
        <v>1389.4056408293841</v>
      </c>
      <c r="L156" s="187">
        <f t="shared" si="52"/>
        <v>-317.94242122044875</v>
      </c>
      <c r="M156" s="188">
        <f t="shared" si="48"/>
        <v>-26.10813082810165</v>
      </c>
      <c r="N156" s="189">
        <f t="shared" si="49"/>
        <v>-344.0505520485504</v>
      </c>
      <c r="O156" s="188">
        <v>0</v>
      </c>
      <c r="P156" s="188">
        <v>0</v>
      </c>
      <c r="Q156" s="188">
        <v>0</v>
      </c>
      <c r="R156" s="189">
        <f t="shared" si="50"/>
        <v>-344.0505520485504</v>
      </c>
    </row>
    <row r="157" spans="1:19" x14ac:dyDescent="0.25">
      <c r="A157" s="146">
        <v>6</v>
      </c>
      <c r="B157" s="181">
        <f t="shared" si="45"/>
        <v>45078</v>
      </c>
      <c r="C157" s="201">
        <f t="shared" si="51"/>
        <v>45112</v>
      </c>
      <c r="D157" s="201">
        <f t="shared" si="51"/>
        <v>45131</v>
      </c>
      <c r="E157" s="209" t="s">
        <v>54</v>
      </c>
      <c r="F157" s="146">
        <v>9</v>
      </c>
      <c r="G157" s="183">
        <v>167</v>
      </c>
      <c r="H157" s="184">
        <f t="shared" si="46"/>
        <v>11.115245126635072</v>
      </c>
      <c r="I157" s="184">
        <f t="shared" si="44"/>
        <v>8.5717057568714825</v>
      </c>
      <c r="J157" s="185">
        <f t="shared" si="47"/>
        <v>1431.4748613975376</v>
      </c>
      <c r="K157" s="186">
        <f t="shared" si="41"/>
        <v>1856.2459361480571</v>
      </c>
      <c r="L157" s="191">
        <f t="shared" si="52"/>
        <v>-424.77107475051957</v>
      </c>
      <c r="M157" s="188">
        <f t="shared" si="48"/>
        <v>-34.880462786343806</v>
      </c>
      <c r="N157" s="189">
        <f t="shared" si="49"/>
        <v>-459.65153753686337</v>
      </c>
      <c r="O157" s="188">
        <v>0</v>
      </c>
      <c r="P157" s="188">
        <v>0</v>
      </c>
      <c r="Q157" s="188">
        <v>0</v>
      </c>
      <c r="R157" s="189">
        <f t="shared" si="50"/>
        <v>-459.65153753686337</v>
      </c>
    </row>
    <row r="158" spans="1:19" x14ac:dyDescent="0.25">
      <c r="A158" s="110">
        <v>7</v>
      </c>
      <c r="B158" s="181">
        <f t="shared" si="45"/>
        <v>45108</v>
      </c>
      <c r="C158" s="201">
        <f t="shared" si="51"/>
        <v>45141</v>
      </c>
      <c r="D158" s="201">
        <f t="shared" si="51"/>
        <v>45162</v>
      </c>
      <c r="E158" s="209" t="s">
        <v>54</v>
      </c>
      <c r="F158" s="146">
        <v>9</v>
      </c>
      <c r="G158" s="183">
        <v>160</v>
      </c>
      <c r="H158" s="184">
        <f t="shared" si="46"/>
        <v>11.115245126635072</v>
      </c>
      <c r="I158" s="184">
        <f t="shared" si="44"/>
        <v>8.5717057568714825</v>
      </c>
      <c r="J158" s="185">
        <f t="shared" si="47"/>
        <v>1371.4729210994371</v>
      </c>
      <c r="K158" s="192">
        <f t="shared" si="41"/>
        <v>1778.4392202616116</v>
      </c>
      <c r="L158" s="191">
        <f t="shared" si="52"/>
        <v>-406.96629916217444</v>
      </c>
      <c r="M158" s="188">
        <f t="shared" si="48"/>
        <v>-33.418407459970112</v>
      </c>
      <c r="N158" s="189">
        <f t="shared" si="49"/>
        <v>-440.38470662214456</v>
      </c>
      <c r="O158" s="188">
        <v>0</v>
      </c>
      <c r="P158" s="188">
        <v>0</v>
      </c>
      <c r="Q158" s="188">
        <v>0</v>
      </c>
      <c r="R158" s="189">
        <f t="shared" si="50"/>
        <v>-440.38470662214456</v>
      </c>
    </row>
    <row r="159" spans="1:19" x14ac:dyDescent="0.25">
      <c r="A159" s="146">
        <v>8</v>
      </c>
      <c r="B159" s="181">
        <f t="shared" si="45"/>
        <v>45139</v>
      </c>
      <c r="C159" s="201">
        <f t="shared" si="51"/>
        <v>45174</v>
      </c>
      <c r="D159" s="201">
        <f t="shared" si="51"/>
        <v>45194</v>
      </c>
      <c r="E159" s="209" t="s">
        <v>54</v>
      </c>
      <c r="F159" s="110">
        <v>9</v>
      </c>
      <c r="G159" s="183">
        <v>181</v>
      </c>
      <c r="H159" s="184">
        <f t="shared" si="46"/>
        <v>11.115245126635072</v>
      </c>
      <c r="I159" s="184">
        <f t="shared" si="44"/>
        <v>8.5717057568714825</v>
      </c>
      <c r="J159" s="185">
        <f t="shared" si="47"/>
        <v>1551.4787419937384</v>
      </c>
      <c r="K159" s="192">
        <f t="shared" si="41"/>
        <v>2011.859367920948</v>
      </c>
      <c r="L159" s="191">
        <f t="shared" si="52"/>
        <v>-460.38062592720962</v>
      </c>
      <c r="M159" s="188">
        <f t="shared" si="48"/>
        <v>-37.804573439091186</v>
      </c>
      <c r="N159" s="189">
        <f t="shared" si="49"/>
        <v>-498.18519936630082</v>
      </c>
      <c r="O159" s="188">
        <v>0</v>
      </c>
      <c r="P159" s="188">
        <v>0</v>
      </c>
      <c r="Q159" s="188">
        <v>0</v>
      </c>
      <c r="R159" s="189">
        <f t="shared" si="50"/>
        <v>-498.18519936630082</v>
      </c>
      <c r="S159" s="50"/>
    </row>
    <row r="160" spans="1:19" x14ac:dyDescent="0.25">
      <c r="A160" s="146">
        <v>9</v>
      </c>
      <c r="B160" s="181">
        <f t="shared" si="45"/>
        <v>45170</v>
      </c>
      <c r="C160" s="201">
        <f t="shared" si="51"/>
        <v>45203</v>
      </c>
      <c r="D160" s="201">
        <f t="shared" si="51"/>
        <v>45223</v>
      </c>
      <c r="E160" s="209" t="s">
        <v>54</v>
      </c>
      <c r="F160" s="110">
        <v>9</v>
      </c>
      <c r="G160" s="183">
        <v>157</v>
      </c>
      <c r="H160" s="184">
        <f t="shared" si="46"/>
        <v>11.115245126635072</v>
      </c>
      <c r="I160" s="184">
        <f t="shared" si="44"/>
        <v>8.5717057568714825</v>
      </c>
      <c r="J160" s="185">
        <f t="shared" si="47"/>
        <v>1345.7578038288227</v>
      </c>
      <c r="K160" s="192">
        <f t="shared" si="41"/>
        <v>1745.0934848817062</v>
      </c>
      <c r="L160" s="191">
        <f t="shared" si="52"/>
        <v>-399.3356810528835</v>
      </c>
      <c r="M160" s="188">
        <f t="shared" si="48"/>
        <v>-32.791812320095673</v>
      </c>
      <c r="N160" s="189">
        <f t="shared" si="49"/>
        <v>-432.12749337297919</v>
      </c>
      <c r="O160" s="188">
        <v>0</v>
      </c>
      <c r="P160" s="188">
        <v>0</v>
      </c>
      <c r="Q160" s="188">
        <v>0</v>
      </c>
      <c r="R160" s="189">
        <f t="shared" si="50"/>
        <v>-432.12749337297919</v>
      </c>
    </row>
    <row r="161" spans="1:19" x14ac:dyDescent="0.25">
      <c r="A161" s="110">
        <v>10</v>
      </c>
      <c r="B161" s="181">
        <f t="shared" si="45"/>
        <v>45200</v>
      </c>
      <c r="C161" s="201">
        <f t="shared" si="51"/>
        <v>45233</v>
      </c>
      <c r="D161" s="201">
        <f t="shared" si="51"/>
        <v>45254</v>
      </c>
      <c r="E161" s="209" t="s">
        <v>54</v>
      </c>
      <c r="F161" s="110">
        <v>9</v>
      </c>
      <c r="G161" s="183">
        <v>118</v>
      </c>
      <c r="H161" s="184">
        <f t="shared" si="46"/>
        <v>11.115245126635072</v>
      </c>
      <c r="I161" s="184">
        <f t="shared" si="44"/>
        <v>8.5717057568714825</v>
      </c>
      <c r="J161" s="185">
        <f t="shared" si="47"/>
        <v>1011.4612793108349</v>
      </c>
      <c r="K161" s="192">
        <f t="shared" si="41"/>
        <v>1311.5989249429385</v>
      </c>
      <c r="L161" s="191">
        <f t="shared" si="52"/>
        <v>-300.13764563210361</v>
      </c>
      <c r="M161" s="188">
        <f t="shared" si="48"/>
        <v>-24.646075501727957</v>
      </c>
      <c r="N161" s="189">
        <f t="shared" si="49"/>
        <v>-324.78372113383159</v>
      </c>
      <c r="O161" s="188">
        <v>0</v>
      </c>
      <c r="P161" s="188">
        <v>0</v>
      </c>
      <c r="Q161" s="188">
        <v>0</v>
      </c>
      <c r="R161" s="189">
        <f t="shared" si="50"/>
        <v>-324.78372113383159</v>
      </c>
    </row>
    <row r="162" spans="1:19" x14ac:dyDescent="0.25">
      <c r="A162" s="146">
        <v>11</v>
      </c>
      <c r="B162" s="181">
        <f t="shared" si="45"/>
        <v>45231</v>
      </c>
      <c r="C162" s="201">
        <f t="shared" si="51"/>
        <v>45266</v>
      </c>
      <c r="D162" s="201">
        <f t="shared" si="51"/>
        <v>45285</v>
      </c>
      <c r="E162" s="209" t="s">
        <v>54</v>
      </c>
      <c r="F162" s="110">
        <v>9</v>
      </c>
      <c r="G162" s="183">
        <v>102</v>
      </c>
      <c r="H162" s="184">
        <f t="shared" si="46"/>
        <v>11.115245126635072</v>
      </c>
      <c r="I162" s="184">
        <f t="shared" si="44"/>
        <v>8.5717057568714825</v>
      </c>
      <c r="J162" s="185">
        <f t="shared" si="47"/>
        <v>874.31398720089123</v>
      </c>
      <c r="K162" s="192">
        <f t="shared" si="41"/>
        <v>1133.7550029167774</v>
      </c>
      <c r="L162" s="191">
        <f t="shared" si="52"/>
        <v>-259.44101571588612</v>
      </c>
      <c r="M162" s="188">
        <f t="shared" si="48"/>
        <v>-21.304234755730945</v>
      </c>
      <c r="N162" s="189">
        <f t="shared" si="49"/>
        <v>-280.74525047161706</v>
      </c>
      <c r="O162" s="188">
        <v>0</v>
      </c>
      <c r="P162" s="188">
        <v>0</v>
      </c>
      <c r="Q162" s="188">
        <v>0</v>
      </c>
      <c r="R162" s="189">
        <f t="shared" si="50"/>
        <v>-280.74525047161706</v>
      </c>
    </row>
    <row r="163" spans="1:19" s="205" customFormat="1" x14ac:dyDescent="0.25">
      <c r="A163" s="146">
        <v>12</v>
      </c>
      <c r="B163" s="203">
        <f t="shared" si="45"/>
        <v>45261</v>
      </c>
      <c r="C163" s="201">
        <f t="shared" si="51"/>
        <v>45294</v>
      </c>
      <c r="D163" s="201">
        <f t="shared" si="51"/>
        <v>45315</v>
      </c>
      <c r="E163" s="210" t="s">
        <v>54</v>
      </c>
      <c r="F163" s="157">
        <v>9</v>
      </c>
      <c r="G163" s="183">
        <v>99</v>
      </c>
      <c r="H163" s="193">
        <f t="shared" si="46"/>
        <v>11.115245126635072</v>
      </c>
      <c r="I163" s="193">
        <f t="shared" si="44"/>
        <v>8.5717057568714825</v>
      </c>
      <c r="J163" s="194">
        <f t="shared" si="47"/>
        <v>848.59886993027681</v>
      </c>
      <c r="K163" s="195">
        <f t="shared" si="41"/>
        <v>1100.4092675368722</v>
      </c>
      <c r="L163" s="196">
        <f t="shared" si="52"/>
        <v>-251.81039760659542</v>
      </c>
      <c r="M163" s="188">
        <f t="shared" si="48"/>
        <v>-20.67763961585651</v>
      </c>
      <c r="N163" s="189">
        <f t="shared" si="49"/>
        <v>-272.48803722245191</v>
      </c>
      <c r="O163" s="188">
        <v>0</v>
      </c>
      <c r="P163" s="188">
        <v>0</v>
      </c>
      <c r="Q163" s="188">
        <v>0</v>
      </c>
      <c r="R163" s="189">
        <f t="shared" si="50"/>
        <v>-272.48803722245191</v>
      </c>
    </row>
    <row r="164" spans="1:19" x14ac:dyDescent="0.25">
      <c r="A164" s="110">
        <v>1</v>
      </c>
      <c r="B164" s="181">
        <f t="shared" si="45"/>
        <v>44927</v>
      </c>
      <c r="C164" s="198">
        <f t="shared" si="51"/>
        <v>44960</v>
      </c>
      <c r="D164" s="198">
        <f t="shared" si="51"/>
        <v>44981</v>
      </c>
      <c r="E164" s="208" t="s">
        <v>55</v>
      </c>
      <c r="F164" s="110">
        <v>9</v>
      </c>
      <c r="G164" s="183">
        <v>7</v>
      </c>
      <c r="H164" s="184">
        <f t="shared" si="46"/>
        <v>11.115245126635072</v>
      </c>
      <c r="I164" s="184">
        <f t="shared" si="44"/>
        <v>8.5717057568714825</v>
      </c>
      <c r="J164" s="185">
        <f t="shared" si="47"/>
        <v>60.001940298100379</v>
      </c>
      <c r="K164" s="186">
        <f t="shared" si="41"/>
        <v>77.806715886445502</v>
      </c>
      <c r="L164" s="187">
        <f t="shared" si="52"/>
        <v>-17.804775588345123</v>
      </c>
      <c r="M164" s="188">
        <f t="shared" si="48"/>
        <v>-1.4620553263736924</v>
      </c>
      <c r="N164" s="189">
        <f t="shared" si="49"/>
        <v>-19.266830914718817</v>
      </c>
      <c r="O164" s="188">
        <v>0</v>
      </c>
      <c r="P164" s="188">
        <v>0</v>
      </c>
      <c r="Q164" s="188">
        <v>0</v>
      </c>
      <c r="R164" s="189">
        <f t="shared" si="50"/>
        <v>-19.266830914718817</v>
      </c>
    </row>
    <row r="165" spans="1:19" x14ac:dyDescent="0.25">
      <c r="A165" s="146">
        <v>2</v>
      </c>
      <c r="B165" s="181">
        <f t="shared" si="45"/>
        <v>44958</v>
      </c>
      <c r="C165" s="201">
        <f t="shared" si="51"/>
        <v>44988</v>
      </c>
      <c r="D165" s="201">
        <f t="shared" si="51"/>
        <v>45009</v>
      </c>
      <c r="E165" s="209" t="s">
        <v>55</v>
      </c>
      <c r="F165" s="146">
        <v>9</v>
      </c>
      <c r="G165" s="183">
        <v>10</v>
      </c>
      <c r="H165" s="184">
        <f t="shared" si="46"/>
        <v>11.115245126635072</v>
      </c>
      <c r="I165" s="184">
        <f t="shared" si="44"/>
        <v>8.5717057568714825</v>
      </c>
      <c r="J165" s="185">
        <f t="shared" si="47"/>
        <v>85.717057568714822</v>
      </c>
      <c r="K165" s="186">
        <f t="shared" si="41"/>
        <v>111.15245126635072</v>
      </c>
      <c r="L165" s="187">
        <f t="shared" si="52"/>
        <v>-25.435393697635902</v>
      </c>
      <c r="M165" s="188">
        <f t="shared" si="48"/>
        <v>-2.088650466248132</v>
      </c>
      <c r="N165" s="189">
        <f t="shared" si="49"/>
        <v>-27.524044163884035</v>
      </c>
      <c r="O165" s="188">
        <v>0</v>
      </c>
      <c r="P165" s="188">
        <v>0</v>
      </c>
      <c r="Q165" s="188">
        <v>0</v>
      </c>
      <c r="R165" s="189">
        <f t="shared" si="50"/>
        <v>-27.524044163884035</v>
      </c>
    </row>
    <row r="166" spans="1:19" x14ac:dyDescent="0.25">
      <c r="A166" s="146">
        <v>3</v>
      </c>
      <c r="B166" s="181">
        <f t="shared" si="45"/>
        <v>44986</v>
      </c>
      <c r="C166" s="201">
        <f t="shared" si="51"/>
        <v>45021</v>
      </c>
      <c r="D166" s="201">
        <f t="shared" si="51"/>
        <v>45040</v>
      </c>
      <c r="E166" s="209" t="s">
        <v>55</v>
      </c>
      <c r="F166" s="146">
        <v>9</v>
      </c>
      <c r="G166" s="183">
        <v>8</v>
      </c>
      <c r="H166" s="184">
        <f t="shared" si="46"/>
        <v>11.115245126635072</v>
      </c>
      <c r="I166" s="184">
        <f t="shared" si="44"/>
        <v>8.5717057568714825</v>
      </c>
      <c r="J166" s="185">
        <f t="shared" si="47"/>
        <v>68.57364605497186</v>
      </c>
      <c r="K166" s="186">
        <f t="shared" si="41"/>
        <v>88.921961013080576</v>
      </c>
      <c r="L166" s="187">
        <f>+J166-K166</f>
        <v>-20.348314958108716</v>
      </c>
      <c r="M166" s="188">
        <f t="shared" si="48"/>
        <v>-1.6709203729985056</v>
      </c>
      <c r="N166" s="189">
        <f t="shared" si="49"/>
        <v>-22.019235331107222</v>
      </c>
      <c r="O166" s="188">
        <v>0</v>
      </c>
      <c r="P166" s="188">
        <v>0</v>
      </c>
      <c r="Q166" s="188">
        <v>0</v>
      </c>
      <c r="R166" s="189">
        <f t="shared" si="50"/>
        <v>-22.019235331107222</v>
      </c>
    </row>
    <row r="167" spans="1:19" x14ac:dyDescent="0.25">
      <c r="A167" s="110">
        <v>4</v>
      </c>
      <c r="B167" s="181">
        <f t="shared" si="45"/>
        <v>45017</v>
      </c>
      <c r="C167" s="201">
        <f t="shared" si="51"/>
        <v>45049</v>
      </c>
      <c r="D167" s="201">
        <f t="shared" si="51"/>
        <v>45070</v>
      </c>
      <c r="E167" s="209" t="s">
        <v>55</v>
      </c>
      <c r="F167" s="146">
        <v>9</v>
      </c>
      <c r="G167" s="183">
        <v>8</v>
      </c>
      <c r="H167" s="184">
        <f t="shared" si="46"/>
        <v>11.115245126635072</v>
      </c>
      <c r="I167" s="184">
        <f t="shared" si="44"/>
        <v>8.5717057568714825</v>
      </c>
      <c r="J167" s="185">
        <f t="shared" si="47"/>
        <v>68.57364605497186</v>
      </c>
      <c r="K167" s="186">
        <f t="shared" si="41"/>
        <v>88.921961013080576</v>
      </c>
      <c r="L167" s="187">
        <f t="shared" ref="L167:L177" si="53">+J167-K167</f>
        <v>-20.348314958108716</v>
      </c>
      <c r="M167" s="188">
        <f t="shared" si="48"/>
        <v>-1.6709203729985056</v>
      </c>
      <c r="N167" s="189">
        <f t="shared" si="49"/>
        <v>-22.019235331107222</v>
      </c>
      <c r="O167" s="188">
        <v>0</v>
      </c>
      <c r="P167" s="188">
        <v>0</v>
      </c>
      <c r="Q167" s="188">
        <v>0</v>
      </c>
      <c r="R167" s="189">
        <f t="shared" si="50"/>
        <v>-22.019235331107222</v>
      </c>
    </row>
    <row r="168" spans="1:19" x14ac:dyDescent="0.25">
      <c r="A168" s="146">
        <v>5</v>
      </c>
      <c r="B168" s="181">
        <f t="shared" si="45"/>
        <v>45047</v>
      </c>
      <c r="C168" s="201">
        <f t="shared" si="51"/>
        <v>45082</v>
      </c>
      <c r="D168" s="201">
        <f t="shared" si="51"/>
        <v>45103</v>
      </c>
      <c r="E168" s="209" t="s">
        <v>55</v>
      </c>
      <c r="F168" s="146">
        <v>9</v>
      </c>
      <c r="G168" s="183">
        <v>10</v>
      </c>
      <c r="H168" s="184">
        <f t="shared" si="46"/>
        <v>11.115245126635072</v>
      </c>
      <c r="I168" s="184">
        <f t="shared" si="44"/>
        <v>8.5717057568714825</v>
      </c>
      <c r="J168" s="185">
        <f t="shared" si="47"/>
        <v>85.717057568714822</v>
      </c>
      <c r="K168" s="186">
        <f t="shared" si="41"/>
        <v>111.15245126635072</v>
      </c>
      <c r="L168" s="187">
        <f t="shared" si="53"/>
        <v>-25.435393697635902</v>
      </c>
      <c r="M168" s="188">
        <f t="shared" si="48"/>
        <v>-2.088650466248132</v>
      </c>
      <c r="N168" s="189">
        <f t="shared" si="49"/>
        <v>-27.524044163884035</v>
      </c>
      <c r="O168" s="188">
        <v>0</v>
      </c>
      <c r="P168" s="188">
        <v>0</v>
      </c>
      <c r="Q168" s="188">
        <v>0</v>
      </c>
      <c r="R168" s="189">
        <f t="shared" si="50"/>
        <v>-27.524044163884035</v>
      </c>
    </row>
    <row r="169" spans="1:19" x14ac:dyDescent="0.25">
      <c r="A169" s="146">
        <v>6</v>
      </c>
      <c r="B169" s="181">
        <f t="shared" si="45"/>
        <v>45078</v>
      </c>
      <c r="C169" s="201">
        <f t="shared" si="51"/>
        <v>45112</v>
      </c>
      <c r="D169" s="201">
        <f t="shared" si="51"/>
        <v>45131</v>
      </c>
      <c r="E169" s="209" t="s">
        <v>55</v>
      </c>
      <c r="F169" s="146">
        <v>9</v>
      </c>
      <c r="G169" s="183">
        <v>12</v>
      </c>
      <c r="H169" s="184">
        <f t="shared" si="46"/>
        <v>11.115245126635072</v>
      </c>
      <c r="I169" s="184">
        <f t="shared" si="44"/>
        <v>8.5717057568714825</v>
      </c>
      <c r="J169" s="185">
        <f t="shared" si="47"/>
        <v>102.8604690824578</v>
      </c>
      <c r="K169" s="186">
        <f t="shared" si="41"/>
        <v>133.38294151962086</v>
      </c>
      <c r="L169" s="191">
        <f t="shared" si="53"/>
        <v>-30.52247243716306</v>
      </c>
      <c r="M169" s="188">
        <f t="shared" si="48"/>
        <v>-2.5063805594977584</v>
      </c>
      <c r="N169" s="189">
        <f t="shared" si="49"/>
        <v>-33.028852996660817</v>
      </c>
      <c r="O169" s="188">
        <v>0</v>
      </c>
      <c r="P169" s="188">
        <v>0</v>
      </c>
      <c r="Q169" s="188">
        <v>0</v>
      </c>
      <c r="R169" s="189">
        <f t="shared" si="50"/>
        <v>-33.028852996660817</v>
      </c>
    </row>
    <row r="170" spans="1:19" x14ac:dyDescent="0.25">
      <c r="A170" s="110">
        <v>7</v>
      </c>
      <c r="B170" s="181">
        <f t="shared" si="45"/>
        <v>45108</v>
      </c>
      <c r="C170" s="201">
        <f t="shared" si="51"/>
        <v>45141</v>
      </c>
      <c r="D170" s="201">
        <f t="shared" si="51"/>
        <v>45162</v>
      </c>
      <c r="E170" s="209" t="s">
        <v>55</v>
      </c>
      <c r="F170" s="146">
        <v>9</v>
      </c>
      <c r="G170" s="183">
        <v>14</v>
      </c>
      <c r="H170" s="184">
        <f t="shared" si="46"/>
        <v>11.115245126635072</v>
      </c>
      <c r="I170" s="184">
        <f t="shared" si="44"/>
        <v>8.5717057568714825</v>
      </c>
      <c r="J170" s="185">
        <f t="shared" si="47"/>
        <v>120.00388059620076</v>
      </c>
      <c r="K170" s="192">
        <f t="shared" si="41"/>
        <v>155.613431772891</v>
      </c>
      <c r="L170" s="191">
        <f t="shared" si="53"/>
        <v>-35.609551176690246</v>
      </c>
      <c r="M170" s="188">
        <f t="shared" si="48"/>
        <v>-2.9241106527473848</v>
      </c>
      <c r="N170" s="189">
        <f t="shared" si="49"/>
        <v>-38.533661829437634</v>
      </c>
      <c r="O170" s="188">
        <v>0</v>
      </c>
      <c r="P170" s="188">
        <v>0</v>
      </c>
      <c r="Q170" s="188">
        <v>0</v>
      </c>
      <c r="R170" s="189">
        <f t="shared" si="50"/>
        <v>-38.533661829437634</v>
      </c>
    </row>
    <row r="171" spans="1:19" x14ac:dyDescent="0.25">
      <c r="A171" s="146">
        <v>8</v>
      </c>
      <c r="B171" s="181">
        <f t="shared" si="45"/>
        <v>45139</v>
      </c>
      <c r="C171" s="201">
        <f t="shared" si="51"/>
        <v>45174</v>
      </c>
      <c r="D171" s="201">
        <f t="shared" si="51"/>
        <v>45194</v>
      </c>
      <c r="E171" s="209" t="s">
        <v>55</v>
      </c>
      <c r="F171" s="110">
        <v>9</v>
      </c>
      <c r="G171" s="183">
        <v>13</v>
      </c>
      <c r="H171" s="184">
        <f t="shared" si="46"/>
        <v>11.115245126635072</v>
      </c>
      <c r="I171" s="184">
        <f t="shared" si="44"/>
        <v>8.5717057568714825</v>
      </c>
      <c r="J171" s="185">
        <f t="shared" si="47"/>
        <v>111.43217483932928</v>
      </c>
      <c r="K171" s="192">
        <f t="shared" si="41"/>
        <v>144.49818664625593</v>
      </c>
      <c r="L171" s="191">
        <f t="shared" si="53"/>
        <v>-33.066011806926653</v>
      </c>
      <c r="M171" s="188">
        <f t="shared" si="48"/>
        <v>-2.7152456061225716</v>
      </c>
      <c r="N171" s="189">
        <f t="shared" si="49"/>
        <v>-35.781257413049225</v>
      </c>
      <c r="O171" s="188">
        <v>0</v>
      </c>
      <c r="P171" s="188">
        <v>0</v>
      </c>
      <c r="Q171" s="188">
        <v>0</v>
      </c>
      <c r="R171" s="189">
        <f t="shared" si="50"/>
        <v>-35.781257413049225</v>
      </c>
      <c r="S171" s="50"/>
    </row>
    <row r="172" spans="1:19" x14ac:dyDescent="0.25">
      <c r="A172" s="146">
        <v>9</v>
      </c>
      <c r="B172" s="181">
        <f t="shared" si="45"/>
        <v>45170</v>
      </c>
      <c r="C172" s="201">
        <f t="shared" ref="C172:D175" si="54">+C160</f>
        <v>45203</v>
      </c>
      <c r="D172" s="201">
        <f t="shared" si="54"/>
        <v>45223</v>
      </c>
      <c r="E172" s="209" t="s">
        <v>55</v>
      </c>
      <c r="F172" s="110">
        <v>9</v>
      </c>
      <c r="G172" s="183">
        <v>13</v>
      </c>
      <c r="H172" s="184">
        <f t="shared" si="46"/>
        <v>11.115245126635072</v>
      </c>
      <c r="I172" s="184">
        <f t="shared" si="44"/>
        <v>8.5717057568714825</v>
      </c>
      <c r="J172" s="185">
        <f t="shared" si="47"/>
        <v>111.43217483932928</v>
      </c>
      <c r="K172" s="192">
        <f t="shared" si="41"/>
        <v>144.49818664625593</v>
      </c>
      <c r="L172" s="191">
        <f t="shared" si="53"/>
        <v>-33.066011806926653</v>
      </c>
      <c r="M172" s="188">
        <f t="shared" si="48"/>
        <v>-2.7152456061225716</v>
      </c>
      <c r="N172" s="189">
        <f t="shared" si="49"/>
        <v>-35.781257413049225</v>
      </c>
      <c r="O172" s="188">
        <v>0</v>
      </c>
      <c r="P172" s="188">
        <v>0</v>
      </c>
      <c r="Q172" s="188">
        <v>0</v>
      </c>
      <c r="R172" s="189">
        <f t="shared" si="50"/>
        <v>-35.781257413049225</v>
      </c>
    </row>
    <row r="173" spans="1:19" x14ac:dyDescent="0.25">
      <c r="A173" s="110">
        <v>10</v>
      </c>
      <c r="B173" s="181">
        <f t="shared" si="45"/>
        <v>45200</v>
      </c>
      <c r="C173" s="201">
        <f t="shared" si="54"/>
        <v>45233</v>
      </c>
      <c r="D173" s="201">
        <f t="shared" si="54"/>
        <v>45254</v>
      </c>
      <c r="E173" s="209" t="s">
        <v>55</v>
      </c>
      <c r="F173" s="110">
        <v>9</v>
      </c>
      <c r="G173" s="183">
        <v>11</v>
      </c>
      <c r="H173" s="184">
        <f t="shared" si="46"/>
        <v>11.115245126635072</v>
      </c>
      <c r="I173" s="184">
        <f t="shared" si="44"/>
        <v>8.5717057568714825</v>
      </c>
      <c r="J173" s="185">
        <f t="shared" si="47"/>
        <v>94.288763325586302</v>
      </c>
      <c r="K173" s="192">
        <f t="shared" si="41"/>
        <v>122.2676963929858</v>
      </c>
      <c r="L173" s="191">
        <f t="shared" si="53"/>
        <v>-27.978933067399495</v>
      </c>
      <c r="M173" s="188">
        <f t="shared" si="48"/>
        <v>-2.2975155128729452</v>
      </c>
      <c r="N173" s="189">
        <f t="shared" si="49"/>
        <v>-30.27644858027244</v>
      </c>
      <c r="O173" s="188">
        <v>0</v>
      </c>
      <c r="P173" s="188">
        <v>0</v>
      </c>
      <c r="Q173" s="188">
        <v>0</v>
      </c>
      <c r="R173" s="189">
        <f t="shared" si="50"/>
        <v>-30.27644858027244</v>
      </c>
    </row>
    <row r="174" spans="1:19" x14ac:dyDescent="0.25">
      <c r="A174" s="146">
        <v>11</v>
      </c>
      <c r="B174" s="181">
        <f t="shared" si="45"/>
        <v>45231</v>
      </c>
      <c r="C174" s="201">
        <f t="shared" si="54"/>
        <v>45266</v>
      </c>
      <c r="D174" s="201">
        <f t="shared" si="54"/>
        <v>45285</v>
      </c>
      <c r="E174" s="209" t="s">
        <v>55</v>
      </c>
      <c r="F174" s="110">
        <v>9</v>
      </c>
      <c r="G174" s="183">
        <v>7</v>
      </c>
      <c r="H174" s="184">
        <f t="shared" si="46"/>
        <v>11.115245126635072</v>
      </c>
      <c r="I174" s="184">
        <f t="shared" si="44"/>
        <v>8.5717057568714825</v>
      </c>
      <c r="J174" s="185">
        <f t="shared" si="47"/>
        <v>60.001940298100379</v>
      </c>
      <c r="K174" s="192">
        <f t="shared" si="41"/>
        <v>77.806715886445502</v>
      </c>
      <c r="L174" s="191">
        <f t="shared" si="53"/>
        <v>-17.804775588345123</v>
      </c>
      <c r="M174" s="188">
        <f t="shared" si="48"/>
        <v>-1.4620553263736924</v>
      </c>
      <c r="N174" s="189">
        <f t="shared" si="49"/>
        <v>-19.266830914718817</v>
      </c>
      <c r="O174" s="188">
        <v>0</v>
      </c>
      <c r="P174" s="188">
        <v>0</v>
      </c>
      <c r="Q174" s="188">
        <v>0</v>
      </c>
      <c r="R174" s="189">
        <f t="shared" si="50"/>
        <v>-19.266830914718817</v>
      </c>
    </row>
    <row r="175" spans="1:19" s="205" customFormat="1" x14ac:dyDescent="0.25">
      <c r="A175" s="146">
        <v>12</v>
      </c>
      <c r="B175" s="203">
        <f t="shared" si="45"/>
        <v>45261</v>
      </c>
      <c r="C175" s="201">
        <f t="shared" si="54"/>
        <v>45294</v>
      </c>
      <c r="D175" s="201">
        <f t="shared" si="54"/>
        <v>45315</v>
      </c>
      <c r="E175" s="210" t="s">
        <v>55</v>
      </c>
      <c r="F175" s="157">
        <v>9</v>
      </c>
      <c r="G175" s="183">
        <v>8</v>
      </c>
      <c r="H175" s="193">
        <f t="shared" si="46"/>
        <v>11.115245126635072</v>
      </c>
      <c r="I175" s="193">
        <f t="shared" si="44"/>
        <v>8.5717057568714825</v>
      </c>
      <c r="J175" s="194">
        <f t="shared" si="47"/>
        <v>68.57364605497186</v>
      </c>
      <c r="K175" s="195">
        <f t="shared" si="41"/>
        <v>88.921961013080576</v>
      </c>
      <c r="L175" s="196">
        <f t="shared" si="53"/>
        <v>-20.348314958108716</v>
      </c>
      <c r="M175" s="188">
        <f t="shared" si="48"/>
        <v>-1.6709203729985056</v>
      </c>
      <c r="N175" s="189">
        <f t="shared" si="49"/>
        <v>-22.019235331107222</v>
      </c>
      <c r="O175" s="188">
        <v>0</v>
      </c>
      <c r="P175" s="188">
        <v>0</v>
      </c>
      <c r="Q175" s="188">
        <v>0</v>
      </c>
      <c r="R175" s="189">
        <f t="shared" si="50"/>
        <v>-22.019235331107222</v>
      </c>
    </row>
    <row r="176" spans="1:19" x14ac:dyDescent="0.25">
      <c r="A176" s="110">
        <v>1</v>
      </c>
      <c r="B176" s="181">
        <f t="shared" si="45"/>
        <v>44927</v>
      </c>
      <c r="C176" s="198">
        <f t="shared" ref="C176:D187" si="55">+C152</f>
        <v>44960</v>
      </c>
      <c r="D176" s="198">
        <f t="shared" si="55"/>
        <v>44981</v>
      </c>
      <c r="E176" s="208" t="s">
        <v>56</v>
      </c>
      <c r="F176" s="146">
        <v>9</v>
      </c>
      <c r="G176" s="183">
        <v>21</v>
      </c>
      <c r="H176" s="184">
        <f t="shared" si="46"/>
        <v>11.115245126635072</v>
      </c>
      <c r="I176" s="184">
        <f t="shared" si="44"/>
        <v>8.5717057568714825</v>
      </c>
      <c r="J176" s="185">
        <f t="shared" si="47"/>
        <v>180.00582089430114</v>
      </c>
      <c r="K176" s="186">
        <f t="shared" si="41"/>
        <v>233.42014765933652</v>
      </c>
      <c r="L176" s="187">
        <f t="shared" si="53"/>
        <v>-53.414326765035383</v>
      </c>
      <c r="M176" s="188">
        <f t="shared" si="48"/>
        <v>-4.3861659791210776</v>
      </c>
      <c r="N176" s="189">
        <f t="shared" si="49"/>
        <v>-57.800492744156458</v>
      </c>
      <c r="O176" s="188">
        <v>0</v>
      </c>
      <c r="P176" s="188">
        <v>0</v>
      </c>
      <c r="Q176" s="188">
        <v>0</v>
      </c>
      <c r="R176" s="189">
        <f t="shared" si="50"/>
        <v>-57.800492744156458</v>
      </c>
    </row>
    <row r="177" spans="1:18" x14ac:dyDescent="0.25">
      <c r="A177" s="146">
        <v>2</v>
      </c>
      <c r="B177" s="181">
        <f t="shared" si="45"/>
        <v>44958</v>
      </c>
      <c r="C177" s="201">
        <f t="shared" si="55"/>
        <v>44988</v>
      </c>
      <c r="D177" s="201">
        <f t="shared" si="55"/>
        <v>45009</v>
      </c>
      <c r="E177" s="52" t="s">
        <v>56</v>
      </c>
      <c r="F177" s="146">
        <v>9</v>
      </c>
      <c r="G177" s="183">
        <v>21</v>
      </c>
      <c r="H177" s="184">
        <f t="shared" si="46"/>
        <v>11.115245126635072</v>
      </c>
      <c r="I177" s="184">
        <f t="shared" si="44"/>
        <v>8.5717057568714825</v>
      </c>
      <c r="J177" s="185">
        <f t="shared" si="47"/>
        <v>180.00582089430114</v>
      </c>
      <c r="K177" s="186">
        <f t="shared" si="41"/>
        <v>233.42014765933652</v>
      </c>
      <c r="L177" s="187">
        <f t="shared" si="53"/>
        <v>-53.414326765035383</v>
      </c>
      <c r="M177" s="188">
        <f t="shared" si="48"/>
        <v>-4.3861659791210776</v>
      </c>
      <c r="N177" s="189">
        <f t="shared" si="49"/>
        <v>-57.800492744156458</v>
      </c>
      <c r="O177" s="188">
        <v>0</v>
      </c>
      <c r="P177" s="188">
        <v>0</v>
      </c>
      <c r="Q177" s="188">
        <v>0</v>
      </c>
      <c r="R177" s="189">
        <f t="shared" si="50"/>
        <v>-57.800492744156458</v>
      </c>
    </row>
    <row r="178" spans="1:18" x14ac:dyDescent="0.25">
      <c r="A178" s="146">
        <v>3</v>
      </c>
      <c r="B178" s="181">
        <f t="shared" si="45"/>
        <v>44986</v>
      </c>
      <c r="C178" s="201">
        <f t="shared" si="55"/>
        <v>45021</v>
      </c>
      <c r="D178" s="201">
        <f t="shared" si="55"/>
        <v>45040</v>
      </c>
      <c r="E178" s="52" t="s">
        <v>56</v>
      </c>
      <c r="F178" s="146">
        <v>9</v>
      </c>
      <c r="G178" s="183">
        <v>19</v>
      </c>
      <c r="H178" s="184">
        <f t="shared" si="46"/>
        <v>11.115245126635072</v>
      </c>
      <c r="I178" s="184">
        <f t="shared" si="44"/>
        <v>8.5717057568714825</v>
      </c>
      <c r="J178" s="185">
        <f t="shared" si="47"/>
        <v>162.86240938055818</v>
      </c>
      <c r="K178" s="186">
        <f t="shared" si="41"/>
        <v>211.18965740606637</v>
      </c>
      <c r="L178" s="187">
        <f>+J178-K178</f>
        <v>-48.327248025508197</v>
      </c>
      <c r="M178" s="188">
        <f t="shared" si="48"/>
        <v>-3.9684358858714512</v>
      </c>
      <c r="N178" s="189">
        <f t="shared" si="49"/>
        <v>-52.295683911379648</v>
      </c>
      <c r="O178" s="188">
        <v>0</v>
      </c>
      <c r="P178" s="188">
        <v>0</v>
      </c>
      <c r="Q178" s="188">
        <v>0</v>
      </c>
      <c r="R178" s="189">
        <f t="shared" si="50"/>
        <v>-52.295683911379648</v>
      </c>
    </row>
    <row r="179" spans="1:18" x14ac:dyDescent="0.25">
      <c r="A179" s="110">
        <v>4</v>
      </c>
      <c r="B179" s="181">
        <f t="shared" si="45"/>
        <v>45017</v>
      </c>
      <c r="C179" s="201">
        <f t="shared" si="55"/>
        <v>45049</v>
      </c>
      <c r="D179" s="201">
        <f t="shared" si="55"/>
        <v>45070</v>
      </c>
      <c r="E179" s="52" t="s">
        <v>56</v>
      </c>
      <c r="F179" s="146">
        <v>9</v>
      </c>
      <c r="G179" s="183">
        <v>21</v>
      </c>
      <c r="H179" s="184">
        <f t="shared" si="46"/>
        <v>11.115245126635072</v>
      </c>
      <c r="I179" s="184">
        <f t="shared" si="44"/>
        <v>8.5717057568714825</v>
      </c>
      <c r="J179" s="185">
        <f t="shared" si="47"/>
        <v>180.00582089430114</v>
      </c>
      <c r="K179" s="186">
        <f t="shared" si="41"/>
        <v>233.42014765933652</v>
      </c>
      <c r="L179" s="187">
        <f t="shared" ref="L179:L189" si="56">+J179-K179</f>
        <v>-53.414326765035383</v>
      </c>
      <c r="M179" s="188">
        <f t="shared" si="48"/>
        <v>-4.3861659791210776</v>
      </c>
      <c r="N179" s="189">
        <f t="shared" si="49"/>
        <v>-57.800492744156458</v>
      </c>
      <c r="O179" s="188">
        <v>0</v>
      </c>
      <c r="P179" s="188">
        <v>0</v>
      </c>
      <c r="Q179" s="188">
        <v>0</v>
      </c>
      <c r="R179" s="189">
        <f t="shared" si="50"/>
        <v>-57.800492744156458</v>
      </c>
    </row>
    <row r="180" spans="1:18" x14ac:dyDescent="0.25">
      <c r="A180" s="146">
        <v>5</v>
      </c>
      <c r="B180" s="181">
        <f t="shared" si="45"/>
        <v>45047</v>
      </c>
      <c r="C180" s="201">
        <f t="shared" si="55"/>
        <v>45082</v>
      </c>
      <c r="D180" s="201">
        <f t="shared" si="55"/>
        <v>45103</v>
      </c>
      <c r="E180" s="52" t="s">
        <v>56</v>
      </c>
      <c r="F180" s="146">
        <v>9</v>
      </c>
      <c r="G180" s="183">
        <v>28</v>
      </c>
      <c r="H180" s="184">
        <f t="shared" si="46"/>
        <v>11.115245126635072</v>
      </c>
      <c r="I180" s="184">
        <f t="shared" ref="I180:I211" si="57">$J$3</f>
        <v>8.5717057568714825</v>
      </c>
      <c r="J180" s="185">
        <f t="shared" si="47"/>
        <v>240.00776119240152</v>
      </c>
      <c r="K180" s="186">
        <f t="shared" si="41"/>
        <v>311.22686354578201</v>
      </c>
      <c r="L180" s="187">
        <f t="shared" si="56"/>
        <v>-71.219102353380492</v>
      </c>
      <c r="M180" s="188">
        <f t="shared" si="48"/>
        <v>-5.8482213054947696</v>
      </c>
      <c r="N180" s="189">
        <f t="shared" si="49"/>
        <v>-77.067323658875267</v>
      </c>
      <c r="O180" s="188">
        <v>0</v>
      </c>
      <c r="P180" s="188">
        <v>0</v>
      </c>
      <c r="Q180" s="188">
        <v>0</v>
      </c>
      <c r="R180" s="189">
        <f t="shared" si="50"/>
        <v>-77.067323658875267</v>
      </c>
    </row>
    <row r="181" spans="1:18" x14ac:dyDescent="0.25">
      <c r="A181" s="146">
        <v>6</v>
      </c>
      <c r="B181" s="181">
        <f t="shared" si="45"/>
        <v>45078</v>
      </c>
      <c r="C181" s="201">
        <f t="shared" si="55"/>
        <v>45112</v>
      </c>
      <c r="D181" s="201">
        <f t="shared" si="55"/>
        <v>45131</v>
      </c>
      <c r="E181" s="52" t="s">
        <v>56</v>
      </c>
      <c r="F181" s="146">
        <v>9</v>
      </c>
      <c r="G181" s="183">
        <v>37</v>
      </c>
      <c r="H181" s="184">
        <f t="shared" si="46"/>
        <v>11.115245126635072</v>
      </c>
      <c r="I181" s="184">
        <f t="shared" si="57"/>
        <v>8.5717057568714825</v>
      </c>
      <c r="J181" s="185">
        <f t="shared" si="47"/>
        <v>317.15311300424486</v>
      </c>
      <c r="K181" s="186">
        <f t="shared" si="41"/>
        <v>411.26406968549765</v>
      </c>
      <c r="L181" s="191">
        <f t="shared" si="56"/>
        <v>-94.110956681252787</v>
      </c>
      <c r="M181" s="188">
        <f t="shared" si="48"/>
        <v>-7.7280067251180879</v>
      </c>
      <c r="N181" s="189">
        <f t="shared" si="49"/>
        <v>-101.83896340637088</v>
      </c>
      <c r="O181" s="188">
        <v>0</v>
      </c>
      <c r="P181" s="188">
        <v>0</v>
      </c>
      <c r="Q181" s="188">
        <v>0</v>
      </c>
      <c r="R181" s="189">
        <f t="shared" si="50"/>
        <v>-101.83896340637088</v>
      </c>
    </row>
    <row r="182" spans="1:18" x14ac:dyDescent="0.25">
      <c r="A182" s="110">
        <v>7</v>
      </c>
      <c r="B182" s="181">
        <f t="shared" si="45"/>
        <v>45108</v>
      </c>
      <c r="C182" s="201">
        <f t="shared" si="55"/>
        <v>45141</v>
      </c>
      <c r="D182" s="201">
        <f t="shared" si="55"/>
        <v>45162</v>
      </c>
      <c r="E182" s="52" t="s">
        <v>56</v>
      </c>
      <c r="F182" s="146">
        <v>9</v>
      </c>
      <c r="G182" s="183">
        <v>38</v>
      </c>
      <c r="H182" s="184">
        <f t="shared" si="46"/>
        <v>11.115245126635072</v>
      </c>
      <c r="I182" s="184">
        <f t="shared" si="57"/>
        <v>8.5717057568714825</v>
      </c>
      <c r="J182" s="185">
        <f t="shared" si="47"/>
        <v>325.72481876111635</v>
      </c>
      <c r="K182" s="192">
        <f t="shared" si="41"/>
        <v>422.37931481213275</v>
      </c>
      <c r="L182" s="191">
        <f t="shared" si="56"/>
        <v>-96.654496051016395</v>
      </c>
      <c r="M182" s="188">
        <f t="shared" si="48"/>
        <v>-7.9368717717429025</v>
      </c>
      <c r="N182" s="189">
        <f t="shared" si="49"/>
        <v>-104.5913678227593</v>
      </c>
      <c r="O182" s="188">
        <v>0</v>
      </c>
      <c r="P182" s="188">
        <v>0</v>
      </c>
      <c r="Q182" s="188">
        <v>0</v>
      </c>
      <c r="R182" s="189">
        <f t="shared" si="50"/>
        <v>-104.5913678227593</v>
      </c>
    </row>
    <row r="183" spans="1:18" x14ac:dyDescent="0.25">
      <c r="A183" s="146">
        <v>8</v>
      </c>
      <c r="B183" s="181">
        <f t="shared" si="45"/>
        <v>45139</v>
      </c>
      <c r="C183" s="201">
        <f t="shared" si="55"/>
        <v>45174</v>
      </c>
      <c r="D183" s="201">
        <f t="shared" si="55"/>
        <v>45194</v>
      </c>
      <c r="E183" s="52" t="s">
        <v>56</v>
      </c>
      <c r="F183" s="146">
        <v>9</v>
      </c>
      <c r="G183" s="183">
        <v>40</v>
      </c>
      <c r="H183" s="184">
        <f t="shared" si="46"/>
        <v>11.115245126635072</v>
      </c>
      <c r="I183" s="184">
        <f t="shared" si="57"/>
        <v>8.5717057568714825</v>
      </c>
      <c r="J183" s="185">
        <f t="shared" si="47"/>
        <v>342.86823027485929</v>
      </c>
      <c r="K183" s="192">
        <f t="shared" si="41"/>
        <v>444.6098050654029</v>
      </c>
      <c r="L183" s="191">
        <f t="shared" si="56"/>
        <v>-101.74157479054361</v>
      </c>
      <c r="M183" s="188">
        <f t="shared" si="48"/>
        <v>-8.354601864992528</v>
      </c>
      <c r="N183" s="189">
        <f t="shared" si="49"/>
        <v>-110.09617665553614</v>
      </c>
      <c r="O183" s="188">
        <v>0</v>
      </c>
      <c r="P183" s="188">
        <v>0</v>
      </c>
      <c r="Q183" s="188">
        <v>0</v>
      </c>
      <c r="R183" s="189">
        <f t="shared" si="50"/>
        <v>-110.09617665553614</v>
      </c>
    </row>
    <row r="184" spans="1:18" x14ac:dyDescent="0.25">
      <c r="A184" s="146">
        <v>9</v>
      </c>
      <c r="B184" s="181">
        <f t="shared" si="45"/>
        <v>45170</v>
      </c>
      <c r="C184" s="201">
        <f t="shared" si="55"/>
        <v>45203</v>
      </c>
      <c r="D184" s="201">
        <f t="shared" si="55"/>
        <v>45223</v>
      </c>
      <c r="E184" s="52" t="s">
        <v>56</v>
      </c>
      <c r="F184" s="146">
        <v>9</v>
      </c>
      <c r="G184" s="183">
        <v>37</v>
      </c>
      <c r="H184" s="184">
        <f t="shared" si="46"/>
        <v>11.115245126635072</v>
      </c>
      <c r="I184" s="184">
        <f t="shared" si="57"/>
        <v>8.5717057568714825</v>
      </c>
      <c r="J184" s="185">
        <f t="shared" si="47"/>
        <v>317.15311300424486</v>
      </c>
      <c r="K184" s="192">
        <f t="shared" si="41"/>
        <v>411.26406968549765</v>
      </c>
      <c r="L184" s="191">
        <f t="shared" si="56"/>
        <v>-94.110956681252787</v>
      </c>
      <c r="M184" s="188">
        <f t="shared" si="48"/>
        <v>-7.7280067251180879</v>
      </c>
      <c r="N184" s="189">
        <f t="shared" si="49"/>
        <v>-101.83896340637088</v>
      </c>
      <c r="O184" s="188">
        <v>0</v>
      </c>
      <c r="P184" s="188">
        <v>0</v>
      </c>
      <c r="Q184" s="188">
        <v>0</v>
      </c>
      <c r="R184" s="189">
        <f t="shared" si="50"/>
        <v>-101.83896340637088</v>
      </c>
    </row>
    <row r="185" spans="1:18" x14ac:dyDescent="0.25">
      <c r="A185" s="110">
        <v>10</v>
      </c>
      <c r="B185" s="181">
        <f t="shared" si="45"/>
        <v>45200</v>
      </c>
      <c r="C185" s="201">
        <f t="shared" si="55"/>
        <v>45233</v>
      </c>
      <c r="D185" s="201">
        <f t="shared" si="55"/>
        <v>45254</v>
      </c>
      <c r="E185" s="52" t="s">
        <v>56</v>
      </c>
      <c r="F185" s="146">
        <v>9</v>
      </c>
      <c r="G185" s="183">
        <v>30</v>
      </c>
      <c r="H185" s="184">
        <f t="shared" si="46"/>
        <v>11.115245126635072</v>
      </c>
      <c r="I185" s="184">
        <f t="shared" si="57"/>
        <v>8.5717057568714825</v>
      </c>
      <c r="J185" s="185">
        <f t="shared" si="47"/>
        <v>257.15117270614445</v>
      </c>
      <c r="K185" s="192">
        <f t="shared" si="41"/>
        <v>333.45735379905216</v>
      </c>
      <c r="L185" s="191">
        <f t="shared" si="56"/>
        <v>-76.306181092907707</v>
      </c>
      <c r="M185" s="188">
        <f t="shared" si="48"/>
        <v>-6.265951398744396</v>
      </c>
      <c r="N185" s="189">
        <f t="shared" si="49"/>
        <v>-82.572132491652098</v>
      </c>
      <c r="O185" s="188">
        <v>0</v>
      </c>
      <c r="P185" s="188">
        <v>0</v>
      </c>
      <c r="Q185" s="188">
        <v>0</v>
      </c>
      <c r="R185" s="189">
        <f t="shared" si="50"/>
        <v>-82.572132491652098</v>
      </c>
    </row>
    <row r="186" spans="1:18" x14ac:dyDescent="0.25">
      <c r="A186" s="146">
        <v>11</v>
      </c>
      <c r="B186" s="181">
        <f t="shared" si="45"/>
        <v>45231</v>
      </c>
      <c r="C186" s="201">
        <f t="shared" si="55"/>
        <v>45266</v>
      </c>
      <c r="D186" s="201">
        <f t="shared" si="55"/>
        <v>45285</v>
      </c>
      <c r="E186" s="52" t="s">
        <v>56</v>
      </c>
      <c r="F186" s="146">
        <v>9</v>
      </c>
      <c r="G186" s="183">
        <v>19</v>
      </c>
      <c r="H186" s="184">
        <f t="shared" si="46"/>
        <v>11.115245126635072</v>
      </c>
      <c r="I186" s="184">
        <f t="shared" si="57"/>
        <v>8.5717057568714825</v>
      </c>
      <c r="J186" s="185">
        <f t="shared" si="47"/>
        <v>162.86240938055818</v>
      </c>
      <c r="K186" s="192">
        <f t="shared" si="41"/>
        <v>211.18965740606637</v>
      </c>
      <c r="L186" s="191">
        <f t="shared" si="56"/>
        <v>-48.327248025508197</v>
      </c>
      <c r="M186" s="188">
        <f t="shared" si="48"/>
        <v>-3.9684358858714512</v>
      </c>
      <c r="N186" s="189">
        <f t="shared" si="49"/>
        <v>-52.295683911379648</v>
      </c>
      <c r="O186" s="188">
        <v>0</v>
      </c>
      <c r="P186" s="188">
        <v>0</v>
      </c>
      <c r="Q186" s="188">
        <v>0</v>
      </c>
      <c r="R186" s="189">
        <f t="shared" si="50"/>
        <v>-52.295683911379648</v>
      </c>
    </row>
    <row r="187" spans="1:18" s="205" customFormat="1" x14ac:dyDescent="0.25">
      <c r="A187" s="146">
        <v>12</v>
      </c>
      <c r="B187" s="203">
        <f t="shared" si="45"/>
        <v>45261</v>
      </c>
      <c r="C187" s="201">
        <f t="shared" si="55"/>
        <v>45294</v>
      </c>
      <c r="D187" s="201">
        <f t="shared" si="55"/>
        <v>45315</v>
      </c>
      <c r="E187" s="204" t="s">
        <v>56</v>
      </c>
      <c r="F187" s="157">
        <v>9</v>
      </c>
      <c r="G187" s="183">
        <v>20</v>
      </c>
      <c r="H187" s="193">
        <f t="shared" si="46"/>
        <v>11.115245126635072</v>
      </c>
      <c r="I187" s="193">
        <f t="shared" si="57"/>
        <v>8.5717057568714825</v>
      </c>
      <c r="J187" s="194">
        <f t="shared" si="47"/>
        <v>171.43411513742964</v>
      </c>
      <c r="K187" s="195">
        <f t="shared" si="41"/>
        <v>222.30490253270145</v>
      </c>
      <c r="L187" s="196">
        <f t="shared" si="56"/>
        <v>-50.870787395271805</v>
      </c>
      <c r="M187" s="188">
        <f t="shared" si="48"/>
        <v>-4.177300932496264</v>
      </c>
      <c r="N187" s="189">
        <f t="shared" si="49"/>
        <v>-55.04808832776807</v>
      </c>
      <c r="O187" s="188">
        <v>0</v>
      </c>
      <c r="P187" s="188">
        <v>0</v>
      </c>
      <c r="Q187" s="188">
        <v>0</v>
      </c>
      <c r="R187" s="189">
        <f t="shared" si="50"/>
        <v>-55.04808832776807</v>
      </c>
    </row>
    <row r="188" spans="1:18" x14ac:dyDescent="0.25">
      <c r="A188" s="110">
        <v>1</v>
      </c>
      <c r="B188" s="181">
        <f t="shared" si="45"/>
        <v>44927</v>
      </c>
      <c r="C188" s="198">
        <f t="shared" ref="C188:D211" si="58">+C176</f>
        <v>44960</v>
      </c>
      <c r="D188" s="198">
        <f t="shared" si="58"/>
        <v>44981</v>
      </c>
      <c r="E188" s="182" t="s">
        <v>57</v>
      </c>
      <c r="F188" s="110">
        <v>9</v>
      </c>
      <c r="G188" s="183">
        <v>36</v>
      </c>
      <c r="H188" s="184">
        <f t="shared" si="46"/>
        <v>11.115245126635072</v>
      </c>
      <c r="I188" s="184">
        <f t="shared" si="57"/>
        <v>8.5717057568714825</v>
      </c>
      <c r="J188" s="185">
        <f t="shared" si="47"/>
        <v>308.58140724737336</v>
      </c>
      <c r="K188" s="186">
        <f t="shared" si="41"/>
        <v>400.1488245588626</v>
      </c>
      <c r="L188" s="187">
        <f t="shared" si="56"/>
        <v>-91.567417311489237</v>
      </c>
      <c r="M188" s="188">
        <f t="shared" si="48"/>
        <v>-7.5191416784932752</v>
      </c>
      <c r="N188" s="189">
        <f t="shared" si="49"/>
        <v>-99.086558989982507</v>
      </c>
      <c r="O188" s="188">
        <v>0</v>
      </c>
      <c r="P188" s="188">
        <v>0</v>
      </c>
      <c r="Q188" s="188">
        <v>0</v>
      </c>
      <c r="R188" s="189">
        <f t="shared" si="50"/>
        <v>-99.086558989982507</v>
      </c>
    </row>
    <row r="189" spans="1:18" x14ac:dyDescent="0.25">
      <c r="A189" s="146">
        <v>2</v>
      </c>
      <c r="B189" s="181">
        <f t="shared" si="45"/>
        <v>44958</v>
      </c>
      <c r="C189" s="201">
        <f t="shared" si="58"/>
        <v>44988</v>
      </c>
      <c r="D189" s="201">
        <f t="shared" si="58"/>
        <v>45009</v>
      </c>
      <c r="E189" s="190" t="s">
        <v>57</v>
      </c>
      <c r="F189" s="146">
        <v>9</v>
      </c>
      <c r="G189" s="183">
        <v>32</v>
      </c>
      <c r="H189" s="184">
        <f t="shared" si="46"/>
        <v>11.115245126635072</v>
      </c>
      <c r="I189" s="184">
        <f t="shared" si="57"/>
        <v>8.5717057568714825</v>
      </c>
      <c r="J189" s="185">
        <f t="shared" si="47"/>
        <v>274.29458421988744</v>
      </c>
      <c r="K189" s="186">
        <f t="shared" si="41"/>
        <v>355.6878440523223</v>
      </c>
      <c r="L189" s="187">
        <f t="shared" si="56"/>
        <v>-81.393259832434865</v>
      </c>
      <c r="M189" s="188">
        <f t="shared" si="48"/>
        <v>-6.6836814919940224</v>
      </c>
      <c r="N189" s="189">
        <f t="shared" si="49"/>
        <v>-88.076941324428887</v>
      </c>
      <c r="O189" s="188">
        <v>0</v>
      </c>
      <c r="P189" s="188">
        <v>0</v>
      </c>
      <c r="Q189" s="188">
        <v>0</v>
      </c>
      <c r="R189" s="189">
        <f t="shared" si="50"/>
        <v>-88.076941324428887</v>
      </c>
    </row>
    <row r="190" spans="1:18" x14ac:dyDescent="0.25">
      <c r="A190" s="146">
        <v>3</v>
      </c>
      <c r="B190" s="181">
        <f t="shared" si="45"/>
        <v>44986</v>
      </c>
      <c r="C190" s="201">
        <f t="shared" si="58"/>
        <v>45021</v>
      </c>
      <c r="D190" s="201">
        <f t="shared" si="58"/>
        <v>45040</v>
      </c>
      <c r="E190" s="190" t="s">
        <v>57</v>
      </c>
      <c r="F190" s="146">
        <v>9</v>
      </c>
      <c r="G190" s="183">
        <v>32</v>
      </c>
      <c r="H190" s="184">
        <f t="shared" si="46"/>
        <v>11.115245126635072</v>
      </c>
      <c r="I190" s="184">
        <f t="shared" si="57"/>
        <v>8.5717057568714825</v>
      </c>
      <c r="J190" s="185">
        <f t="shared" si="47"/>
        <v>274.29458421988744</v>
      </c>
      <c r="K190" s="186">
        <f t="shared" si="41"/>
        <v>355.6878440523223</v>
      </c>
      <c r="L190" s="187">
        <f>+J190-K190</f>
        <v>-81.393259832434865</v>
      </c>
      <c r="M190" s="188">
        <f t="shared" si="48"/>
        <v>-6.6836814919940224</v>
      </c>
      <c r="N190" s="189">
        <f t="shared" si="49"/>
        <v>-88.076941324428887</v>
      </c>
      <c r="O190" s="188">
        <v>0</v>
      </c>
      <c r="P190" s="188">
        <v>0</v>
      </c>
      <c r="Q190" s="188">
        <v>0</v>
      </c>
      <c r="R190" s="189">
        <f t="shared" si="50"/>
        <v>-88.076941324428887</v>
      </c>
    </row>
    <row r="191" spans="1:18" x14ac:dyDescent="0.25">
      <c r="A191" s="110">
        <v>4</v>
      </c>
      <c r="B191" s="181">
        <f t="shared" si="45"/>
        <v>45017</v>
      </c>
      <c r="C191" s="201">
        <f t="shared" si="58"/>
        <v>45049</v>
      </c>
      <c r="D191" s="201">
        <f t="shared" si="58"/>
        <v>45070</v>
      </c>
      <c r="E191" s="52" t="s">
        <v>57</v>
      </c>
      <c r="F191" s="146">
        <v>9</v>
      </c>
      <c r="G191" s="183">
        <v>31</v>
      </c>
      <c r="H191" s="184">
        <f t="shared" si="46"/>
        <v>11.115245126635072</v>
      </c>
      <c r="I191" s="184">
        <f t="shared" si="57"/>
        <v>8.5717057568714825</v>
      </c>
      <c r="J191" s="185">
        <f t="shared" si="47"/>
        <v>265.72287846301595</v>
      </c>
      <c r="K191" s="186">
        <f t="shared" si="41"/>
        <v>344.57259892568726</v>
      </c>
      <c r="L191" s="187">
        <f t="shared" ref="L191:L201" si="59">+J191-K191</f>
        <v>-78.849720462671314</v>
      </c>
      <c r="M191" s="188">
        <f t="shared" si="48"/>
        <v>-6.4748164453692088</v>
      </c>
      <c r="N191" s="189">
        <f t="shared" si="49"/>
        <v>-85.324536908040528</v>
      </c>
      <c r="O191" s="188">
        <v>0</v>
      </c>
      <c r="P191" s="188">
        <v>0</v>
      </c>
      <c r="Q191" s="188">
        <v>0</v>
      </c>
      <c r="R191" s="189">
        <f t="shared" si="50"/>
        <v>-85.324536908040528</v>
      </c>
    </row>
    <row r="192" spans="1:18" x14ac:dyDescent="0.25">
      <c r="A192" s="146">
        <v>5</v>
      </c>
      <c r="B192" s="181">
        <f t="shared" si="45"/>
        <v>45047</v>
      </c>
      <c r="C192" s="201">
        <f t="shared" si="58"/>
        <v>45082</v>
      </c>
      <c r="D192" s="201">
        <f t="shared" si="58"/>
        <v>45103</v>
      </c>
      <c r="E192" s="52" t="s">
        <v>57</v>
      </c>
      <c r="F192" s="146">
        <v>9</v>
      </c>
      <c r="G192" s="183">
        <v>38</v>
      </c>
      <c r="H192" s="184">
        <f t="shared" si="46"/>
        <v>11.115245126635072</v>
      </c>
      <c r="I192" s="184">
        <f t="shared" si="57"/>
        <v>8.5717057568714825</v>
      </c>
      <c r="J192" s="185">
        <f t="shared" si="47"/>
        <v>325.72481876111635</v>
      </c>
      <c r="K192" s="186">
        <f t="shared" si="41"/>
        <v>422.37931481213275</v>
      </c>
      <c r="L192" s="187">
        <f t="shared" si="59"/>
        <v>-96.654496051016395</v>
      </c>
      <c r="M192" s="188">
        <f t="shared" si="48"/>
        <v>-7.9368717717429025</v>
      </c>
      <c r="N192" s="189">
        <f t="shared" si="49"/>
        <v>-104.5913678227593</v>
      </c>
      <c r="O192" s="188">
        <v>0</v>
      </c>
      <c r="P192" s="188">
        <v>0</v>
      </c>
      <c r="Q192" s="188">
        <v>0</v>
      </c>
      <c r="R192" s="189">
        <f t="shared" si="50"/>
        <v>-104.5913678227593</v>
      </c>
    </row>
    <row r="193" spans="1:18" x14ac:dyDescent="0.25">
      <c r="A193" s="146">
        <v>6</v>
      </c>
      <c r="B193" s="181">
        <f t="shared" si="45"/>
        <v>45078</v>
      </c>
      <c r="C193" s="201">
        <f t="shared" si="58"/>
        <v>45112</v>
      </c>
      <c r="D193" s="201">
        <f t="shared" si="58"/>
        <v>45131</v>
      </c>
      <c r="E193" s="52" t="s">
        <v>57</v>
      </c>
      <c r="F193" s="146">
        <v>9</v>
      </c>
      <c r="G193" s="183">
        <v>48</v>
      </c>
      <c r="H193" s="184">
        <f t="shared" si="46"/>
        <v>11.115245126635072</v>
      </c>
      <c r="I193" s="184">
        <f t="shared" si="57"/>
        <v>8.5717057568714825</v>
      </c>
      <c r="J193" s="185">
        <f t="shared" si="47"/>
        <v>411.44187632983119</v>
      </c>
      <c r="K193" s="186">
        <f t="shared" si="41"/>
        <v>533.53176607848343</v>
      </c>
      <c r="L193" s="191">
        <f t="shared" si="59"/>
        <v>-122.08988974865224</v>
      </c>
      <c r="M193" s="188">
        <f t="shared" si="48"/>
        <v>-10.025522237991034</v>
      </c>
      <c r="N193" s="189">
        <f t="shared" si="49"/>
        <v>-132.11541198664327</v>
      </c>
      <c r="O193" s="188">
        <v>0</v>
      </c>
      <c r="P193" s="188">
        <v>0</v>
      </c>
      <c r="Q193" s="188">
        <v>0</v>
      </c>
      <c r="R193" s="189">
        <f t="shared" si="50"/>
        <v>-132.11541198664327</v>
      </c>
    </row>
    <row r="194" spans="1:18" x14ac:dyDescent="0.25">
      <c r="A194" s="110">
        <v>7</v>
      </c>
      <c r="B194" s="181">
        <f t="shared" si="45"/>
        <v>45108</v>
      </c>
      <c r="C194" s="201">
        <f t="shared" si="58"/>
        <v>45141</v>
      </c>
      <c r="D194" s="201">
        <f t="shared" si="58"/>
        <v>45162</v>
      </c>
      <c r="E194" s="52" t="s">
        <v>57</v>
      </c>
      <c r="F194" s="146">
        <v>9</v>
      </c>
      <c r="G194" s="183">
        <v>49</v>
      </c>
      <c r="H194" s="184">
        <f t="shared" si="46"/>
        <v>11.115245126635072</v>
      </c>
      <c r="I194" s="184">
        <f t="shared" si="57"/>
        <v>8.5717057568714825</v>
      </c>
      <c r="J194" s="185">
        <f t="shared" si="47"/>
        <v>420.01358208670263</v>
      </c>
      <c r="K194" s="192">
        <f t="shared" si="41"/>
        <v>544.64701120511847</v>
      </c>
      <c r="L194" s="191">
        <f t="shared" si="59"/>
        <v>-124.63342911841585</v>
      </c>
      <c r="M194" s="188">
        <f t="shared" si="48"/>
        <v>-10.234387284615847</v>
      </c>
      <c r="N194" s="189">
        <f t="shared" si="49"/>
        <v>-134.8678164030317</v>
      </c>
      <c r="O194" s="188">
        <v>0</v>
      </c>
      <c r="P194" s="188">
        <v>0</v>
      </c>
      <c r="Q194" s="188">
        <v>0</v>
      </c>
      <c r="R194" s="189">
        <f t="shared" si="50"/>
        <v>-134.8678164030317</v>
      </c>
    </row>
    <row r="195" spans="1:18" x14ac:dyDescent="0.25">
      <c r="A195" s="146">
        <v>8</v>
      </c>
      <c r="B195" s="181">
        <f t="shared" si="45"/>
        <v>45139</v>
      </c>
      <c r="C195" s="201">
        <f t="shared" si="58"/>
        <v>45174</v>
      </c>
      <c r="D195" s="201">
        <f t="shared" si="58"/>
        <v>45194</v>
      </c>
      <c r="E195" s="52" t="s">
        <v>57</v>
      </c>
      <c r="F195" s="146">
        <v>9</v>
      </c>
      <c r="G195" s="183">
        <v>50</v>
      </c>
      <c r="H195" s="184">
        <f t="shared" si="46"/>
        <v>11.115245126635072</v>
      </c>
      <c r="I195" s="184">
        <f t="shared" si="57"/>
        <v>8.5717057568714825</v>
      </c>
      <c r="J195" s="185">
        <f t="shared" si="47"/>
        <v>428.58528784357412</v>
      </c>
      <c r="K195" s="192">
        <f t="shared" si="41"/>
        <v>555.76225633175363</v>
      </c>
      <c r="L195" s="191">
        <f t="shared" si="59"/>
        <v>-127.17696848817951</v>
      </c>
      <c r="M195" s="188">
        <f t="shared" si="48"/>
        <v>-10.443252331240659</v>
      </c>
      <c r="N195" s="189">
        <f t="shared" si="49"/>
        <v>-137.62022081942018</v>
      </c>
      <c r="O195" s="188">
        <v>0</v>
      </c>
      <c r="P195" s="188">
        <v>0</v>
      </c>
      <c r="Q195" s="188">
        <v>0</v>
      </c>
      <c r="R195" s="189">
        <f t="shared" si="50"/>
        <v>-137.62022081942018</v>
      </c>
    </row>
    <row r="196" spans="1:18" x14ac:dyDescent="0.25">
      <c r="A196" s="146">
        <v>9</v>
      </c>
      <c r="B196" s="181">
        <f t="shared" si="45"/>
        <v>45170</v>
      </c>
      <c r="C196" s="201">
        <f t="shared" si="58"/>
        <v>45203</v>
      </c>
      <c r="D196" s="201">
        <f t="shared" si="58"/>
        <v>45223</v>
      </c>
      <c r="E196" s="52" t="s">
        <v>57</v>
      </c>
      <c r="F196" s="146">
        <v>9</v>
      </c>
      <c r="G196" s="183">
        <v>47</v>
      </c>
      <c r="H196" s="184">
        <f t="shared" si="46"/>
        <v>11.115245126635072</v>
      </c>
      <c r="I196" s="184">
        <f t="shared" si="57"/>
        <v>8.5717057568714825</v>
      </c>
      <c r="J196" s="185">
        <f t="shared" si="47"/>
        <v>402.87017057295969</v>
      </c>
      <c r="K196" s="192">
        <f t="shared" si="41"/>
        <v>522.41652095184838</v>
      </c>
      <c r="L196" s="191">
        <f t="shared" si="59"/>
        <v>-119.54635037888869</v>
      </c>
      <c r="M196" s="188">
        <f t="shared" si="48"/>
        <v>-9.8166571913662199</v>
      </c>
      <c r="N196" s="189">
        <f t="shared" si="49"/>
        <v>-129.36300757025492</v>
      </c>
      <c r="O196" s="188">
        <v>0</v>
      </c>
      <c r="P196" s="188">
        <v>0</v>
      </c>
      <c r="Q196" s="188">
        <v>0</v>
      </c>
      <c r="R196" s="189">
        <f t="shared" si="50"/>
        <v>-129.36300757025492</v>
      </c>
    </row>
    <row r="197" spans="1:18" x14ac:dyDescent="0.25">
      <c r="A197" s="110">
        <v>10</v>
      </c>
      <c r="B197" s="181">
        <f t="shared" si="45"/>
        <v>45200</v>
      </c>
      <c r="C197" s="201">
        <f t="shared" si="58"/>
        <v>45233</v>
      </c>
      <c r="D197" s="201">
        <f t="shared" si="58"/>
        <v>45254</v>
      </c>
      <c r="E197" s="52" t="s">
        <v>57</v>
      </c>
      <c r="F197" s="146">
        <v>9</v>
      </c>
      <c r="G197" s="183">
        <v>36</v>
      </c>
      <c r="H197" s="184">
        <f t="shared" si="46"/>
        <v>11.115245126635072</v>
      </c>
      <c r="I197" s="184">
        <f t="shared" si="57"/>
        <v>8.5717057568714825</v>
      </c>
      <c r="J197" s="185">
        <f t="shared" si="47"/>
        <v>308.58140724737336</v>
      </c>
      <c r="K197" s="192">
        <f t="shared" si="41"/>
        <v>400.1488245588626</v>
      </c>
      <c r="L197" s="191">
        <f t="shared" si="59"/>
        <v>-91.567417311489237</v>
      </c>
      <c r="M197" s="188">
        <f t="shared" si="48"/>
        <v>-7.5191416784932752</v>
      </c>
      <c r="N197" s="189">
        <f t="shared" si="49"/>
        <v>-99.086558989982507</v>
      </c>
      <c r="O197" s="188">
        <v>0</v>
      </c>
      <c r="P197" s="188">
        <v>0</v>
      </c>
      <c r="Q197" s="188">
        <v>0</v>
      </c>
      <c r="R197" s="189">
        <f t="shared" si="50"/>
        <v>-99.086558989982507</v>
      </c>
    </row>
    <row r="198" spans="1:18" x14ac:dyDescent="0.25">
      <c r="A198" s="146">
        <v>11</v>
      </c>
      <c r="B198" s="181">
        <f t="shared" si="45"/>
        <v>45231</v>
      </c>
      <c r="C198" s="201">
        <f t="shared" si="58"/>
        <v>45266</v>
      </c>
      <c r="D198" s="201">
        <f t="shared" si="58"/>
        <v>45285</v>
      </c>
      <c r="E198" s="52" t="s">
        <v>57</v>
      </c>
      <c r="F198" s="146">
        <v>9</v>
      </c>
      <c r="G198" s="183">
        <v>26</v>
      </c>
      <c r="H198" s="184">
        <f t="shared" si="46"/>
        <v>11.115245126635072</v>
      </c>
      <c r="I198" s="184">
        <f t="shared" si="57"/>
        <v>8.5717057568714825</v>
      </c>
      <c r="J198" s="185">
        <f t="shared" si="47"/>
        <v>222.86434967865856</v>
      </c>
      <c r="K198" s="192">
        <f t="shared" ref="K198:K209" si="60">+$G198*H198</f>
        <v>288.99637329251186</v>
      </c>
      <c r="L198" s="191">
        <f t="shared" si="59"/>
        <v>-66.132023613853306</v>
      </c>
      <c r="M198" s="188">
        <f t="shared" si="48"/>
        <v>-5.4304912122451432</v>
      </c>
      <c r="N198" s="189">
        <f t="shared" si="49"/>
        <v>-71.56251482609845</v>
      </c>
      <c r="O198" s="188">
        <v>0</v>
      </c>
      <c r="P198" s="188">
        <v>0</v>
      </c>
      <c r="Q198" s="188">
        <v>0</v>
      </c>
      <c r="R198" s="189">
        <f t="shared" si="50"/>
        <v>-71.56251482609845</v>
      </c>
    </row>
    <row r="199" spans="1:18" s="205" customFormat="1" x14ac:dyDescent="0.25">
      <c r="A199" s="146">
        <v>12</v>
      </c>
      <c r="B199" s="203">
        <f t="shared" si="45"/>
        <v>45261</v>
      </c>
      <c r="C199" s="201">
        <f t="shared" si="58"/>
        <v>45294</v>
      </c>
      <c r="D199" s="201">
        <f t="shared" si="58"/>
        <v>45315</v>
      </c>
      <c r="E199" s="204" t="s">
        <v>57</v>
      </c>
      <c r="F199" s="157">
        <v>9</v>
      </c>
      <c r="G199" s="183">
        <v>31</v>
      </c>
      <c r="H199" s="193">
        <f t="shared" si="46"/>
        <v>11.115245126635072</v>
      </c>
      <c r="I199" s="193">
        <f t="shared" si="57"/>
        <v>8.5717057568714825</v>
      </c>
      <c r="J199" s="194">
        <f t="shared" si="47"/>
        <v>265.72287846301595</v>
      </c>
      <c r="K199" s="195">
        <f t="shared" si="60"/>
        <v>344.57259892568726</v>
      </c>
      <c r="L199" s="196">
        <f t="shared" si="59"/>
        <v>-78.849720462671314</v>
      </c>
      <c r="M199" s="188">
        <f t="shared" si="48"/>
        <v>-6.4748164453692088</v>
      </c>
      <c r="N199" s="189">
        <f t="shared" si="49"/>
        <v>-85.324536908040528</v>
      </c>
      <c r="O199" s="188">
        <v>0</v>
      </c>
      <c r="P199" s="188">
        <v>0</v>
      </c>
      <c r="Q199" s="188">
        <v>0</v>
      </c>
      <c r="R199" s="189">
        <f t="shared" si="50"/>
        <v>-85.324536908040528</v>
      </c>
    </row>
    <row r="200" spans="1:18" x14ac:dyDescent="0.25">
      <c r="A200" s="110">
        <v>1</v>
      </c>
      <c r="B200" s="181">
        <f t="shared" si="45"/>
        <v>44927</v>
      </c>
      <c r="C200" s="198">
        <f t="shared" si="58"/>
        <v>44960</v>
      </c>
      <c r="D200" s="198">
        <f t="shared" si="58"/>
        <v>44981</v>
      </c>
      <c r="E200" s="182" t="s">
        <v>17</v>
      </c>
      <c r="F200" s="110">
        <v>9</v>
      </c>
      <c r="G200" s="183">
        <v>104</v>
      </c>
      <c r="H200" s="184">
        <f t="shared" si="46"/>
        <v>11.115245126635072</v>
      </c>
      <c r="I200" s="184">
        <f t="shared" si="57"/>
        <v>8.5717057568714825</v>
      </c>
      <c r="J200" s="185">
        <f t="shared" si="47"/>
        <v>891.45739871463422</v>
      </c>
      <c r="K200" s="186">
        <f t="shared" si="60"/>
        <v>1155.9854931700474</v>
      </c>
      <c r="L200" s="187">
        <f t="shared" si="59"/>
        <v>-264.52809445541322</v>
      </c>
      <c r="M200" s="188">
        <f t="shared" si="48"/>
        <v>-21.721964848980573</v>
      </c>
      <c r="N200" s="189">
        <f t="shared" si="49"/>
        <v>-286.2500593043938</v>
      </c>
      <c r="O200" s="188">
        <v>0</v>
      </c>
      <c r="P200" s="188">
        <v>0</v>
      </c>
      <c r="Q200" s="188">
        <v>0</v>
      </c>
      <c r="R200" s="189">
        <f t="shared" si="50"/>
        <v>-286.2500593043938</v>
      </c>
    </row>
    <row r="201" spans="1:18" x14ac:dyDescent="0.25">
      <c r="A201" s="146">
        <v>2</v>
      </c>
      <c r="B201" s="181">
        <f t="shared" si="45"/>
        <v>44958</v>
      </c>
      <c r="C201" s="201">
        <f t="shared" si="58"/>
        <v>44988</v>
      </c>
      <c r="D201" s="201">
        <f t="shared" si="58"/>
        <v>45009</v>
      </c>
      <c r="E201" s="190" t="s">
        <v>17</v>
      </c>
      <c r="F201" s="146">
        <v>9</v>
      </c>
      <c r="G201" s="183">
        <v>107</v>
      </c>
      <c r="H201" s="184">
        <f t="shared" si="46"/>
        <v>11.115245126635072</v>
      </c>
      <c r="I201" s="184">
        <f t="shared" si="57"/>
        <v>8.5717057568714825</v>
      </c>
      <c r="J201" s="185">
        <f t="shared" si="47"/>
        <v>917.17251598524865</v>
      </c>
      <c r="K201" s="186">
        <f t="shared" si="60"/>
        <v>1189.3312285499528</v>
      </c>
      <c r="L201" s="187">
        <f t="shared" si="59"/>
        <v>-272.15871256470416</v>
      </c>
      <c r="M201" s="188">
        <f t="shared" si="48"/>
        <v>-22.348559988855012</v>
      </c>
      <c r="N201" s="189">
        <f t="shared" si="49"/>
        <v>-294.50727255355918</v>
      </c>
      <c r="O201" s="188">
        <v>0</v>
      </c>
      <c r="P201" s="188">
        <v>0</v>
      </c>
      <c r="Q201" s="188">
        <v>0</v>
      </c>
      <c r="R201" s="189">
        <f t="shared" si="50"/>
        <v>-294.50727255355918</v>
      </c>
    </row>
    <row r="202" spans="1:18" x14ac:dyDescent="0.25">
      <c r="A202" s="146">
        <v>3</v>
      </c>
      <c r="B202" s="181">
        <f t="shared" si="45"/>
        <v>44986</v>
      </c>
      <c r="C202" s="201">
        <f t="shared" si="58"/>
        <v>45021</v>
      </c>
      <c r="D202" s="201">
        <f t="shared" si="58"/>
        <v>45040</v>
      </c>
      <c r="E202" s="190" t="s">
        <v>17</v>
      </c>
      <c r="F202" s="146">
        <v>9</v>
      </c>
      <c r="G202" s="183">
        <v>103</v>
      </c>
      <c r="H202" s="184">
        <f t="shared" si="46"/>
        <v>11.115245126635072</v>
      </c>
      <c r="I202" s="184">
        <f t="shared" si="57"/>
        <v>8.5717057568714825</v>
      </c>
      <c r="J202" s="185">
        <f t="shared" si="47"/>
        <v>882.88569295776267</v>
      </c>
      <c r="K202" s="186">
        <f t="shared" si="60"/>
        <v>1144.8702480434124</v>
      </c>
      <c r="L202" s="187">
        <f>+J202-K202</f>
        <v>-261.98455508564973</v>
      </c>
      <c r="M202" s="188">
        <f t="shared" si="48"/>
        <v>-21.513099802355761</v>
      </c>
      <c r="N202" s="189">
        <f t="shared" si="49"/>
        <v>-283.49765488800551</v>
      </c>
      <c r="O202" s="188">
        <v>0</v>
      </c>
      <c r="P202" s="188">
        <v>0</v>
      </c>
      <c r="Q202" s="188">
        <v>0</v>
      </c>
      <c r="R202" s="189">
        <f t="shared" si="50"/>
        <v>-283.49765488800551</v>
      </c>
    </row>
    <row r="203" spans="1:18" x14ac:dyDescent="0.25">
      <c r="A203" s="110">
        <v>4</v>
      </c>
      <c r="B203" s="181">
        <f t="shared" si="45"/>
        <v>45017</v>
      </c>
      <c r="C203" s="201">
        <f t="shared" si="58"/>
        <v>45049</v>
      </c>
      <c r="D203" s="201">
        <f t="shared" si="58"/>
        <v>45070</v>
      </c>
      <c r="E203" s="190" t="s">
        <v>17</v>
      </c>
      <c r="F203" s="146">
        <v>9</v>
      </c>
      <c r="G203" s="183">
        <v>98</v>
      </c>
      <c r="H203" s="184">
        <f t="shared" si="46"/>
        <v>11.115245126635072</v>
      </c>
      <c r="I203" s="184">
        <f t="shared" si="57"/>
        <v>8.5717057568714825</v>
      </c>
      <c r="J203" s="185">
        <f t="shared" si="47"/>
        <v>840.02716417340525</v>
      </c>
      <c r="K203" s="186">
        <f t="shared" si="60"/>
        <v>1089.2940224102369</v>
      </c>
      <c r="L203" s="187">
        <f t="shared" ref="L203:L211" si="61">+J203-K203</f>
        <v>-249.26685823683169</v>
      </c>
      <c r="M203" s="188">
        <f t="shared" si="48"/>
        <v>-20.468774569231694</v>
      </c>
      <c r="N203" s="189">
        <f t="shared" si="49"/>
        <v>-269.73563280606339</v>
      </c>
      <c r="O203" s="188">
        <v>0</v>
      </c>
      <c r="P203" s="188">
        <v>0</v>
      </c>
      <c r="Q203" s="188">
        <v>0</v>
      </c>
      <c r="R203" s="189">
        <f t="shared" si="50"/>
        <v>-269.73563280606339</v>
      </c>
    </row>
    <row r="204" spans="1:18" x14ac:dyDescent="0.25">
      <c r="A204" s="146">
        <v>5</v>
      </c>
      <c r="B204" s="181">
        <f t="shared" si="45"/>
        <v>45047</v>
      </c>
      <c r="C204" s="201">
        <f t="shared" si="58"/>
        <v>45082</v>
      </c>
      <c r="D204" s="201">
        <f t="shared" si="58"/>
        <v>45103</v>
      </c>
      <c r="E204" s="52" t="s">
        <v>17</v>
      </c>
      <c r="F204" s="146">
        <v>9</v>
      </c>
      <c r="G204" s="183">
        <v>105</v>
      </c>
      <c r="H204" s="184">
        <f t="shared" si="46"/>
        <v>11.115245126635072</v>
      </c>
      <c r="I204" s="184">
        <f t="shared" si="57"/>
        <v>8.5717057568714825</v>
      </c>
      <c r="J204" s="185">
        <f t="shared" si="47"/>
        <v>900.02910447150566</v>
      </c>
      <c r="K204" s="186">
        <f t="shared" si="60"/>
        <v>1167.1007382966825</v>
      </c>
      <c r="L204" s="187">
        <f t="shared" si="61"/>
        <v>-267.07163382517683</v>
      </c>
      <c r="M204" s="188">
        <f t="shared" si="48"/>
        <v>-21.930829895605388</v>
      </c>
      <c r="N204" s="189">
        <f t="shared" si="49"/>
        <v>-289.0024637207822</v>
      </c>
      <c r="O204" s="188">
        <v>0</v>
      </c>
      <c r="P204" s="188">
        <v>0</v>
      </c>
      <c r="Q204" s="188">
        <v>0</v>
      </c>
      <c r="R204" s="189">
        <f t="shared" si="50"/>
        <v>-289.0024637207822</v>
      </c>
    </row>
    <row r="205" spans="1:18" x14ac:dyDescent="0.25">
      <c r="A205" s="146">
        <v>6</v>
      </c>
      <c r="B205" s="181">
        <f t="shared" si="45"/>
        <v>45078</v>
      </c>
      <c r="C205" s="201">
        <f t="shared" si="58"/>
        <v>45112</v>
      </c>
      <c r="D205" s="201">
        <f t="shared" si="58"/>
        <v>45131</v>
      </c>
      <c r="E205" s="52" t="s">
        <v>17</v>
      </c>
      <c r="F205" s="146">
        <v>9</v>
      </c>
      <c r="G205" s="183">
        <v>115</v>
      </c>
      <c r="H205" s="184">
        <f t="shared" si="46"/>
        <v>11.115245126635072</v>
      </c>
      <c r="I205" s="184">
        <f t="shared" si="57"/>
        <v>8.5717057568714825</v>
      </c>
      <c r="J205" s="185">
        <f t="shared" si="47"/>
        <v>985.7461620402205</v>
      </c>
      <c r="K205" s="186">
        <f t="shared" si="60"/>
        <v>1278.2531895630332</v>
      </c>
      <c r="L205" s="191">
        <f t="shared" si="61"/>
        <v>-292.50702752281268</v>
      </c>
      <c r="M205" s="188">
        <f t="shared" si="48"/>
        <v>-24.019480361853518</v>
      </c>
      <c r="N205" s="189">
        <f t="shared" si="49"/>
        <v>-316.52650788466622</v>
      </c>
      <c r="O205" s="188">
        <v>0</v>
      </c>
      <c r="P205" s="188">
        <v>0</v>
      </c>
      <c r="Q205" s="188">
        <v>0</v>
      </c>
      <c r="R205" s="189">
        <f t="shared" si="50"/>
        <v>-316.52650788466622</v>
      </c>
    </row>
    <row r="206" spans="1:18" x14ac:dyDescent="0.25">
      <c r="A206" s="110">
        <v>7</v>
      </c>
      <c r="B206" s="181">
        <f t="shared" si="45"/>
        <v>45108</v>
      </c>
      <c r="C206" s="201">
        <f t="shared" si="58"/>
        <v>45141</v>
      </c>
      <c r="D206" s="201">
        <f t="shared" si="58"/>
        <v>45162</v>
      </c>
      <c r="E206" s="52" t="s">
        <v>17</v>
      </c>
      <c r="F206" s="146">
        <v>9</v>
      </c>
      <c r="G206" s="183">
        <v>110</v>
      </c>
      <c r="H206" s="184">
        <f t="shared" si="46"/>
        <v>11.115245126635072</v>
      </c>
      <c r="I206" s="184">
        <f t="shared" si="57"/>
        <v>8.5717057568714825</v>
      </c>
      <c r="J206" s="185">
        <f t="shared" si="47"/>
        <v>942.88763325586308</v>
      </c>
      <c r="K206" s="192">
        <f t="shared" si="60"/>
        <v>1222.6769639298579</v>
      </c>
      <c r="L206" s="191">
        <f t="shared" si="61"/>
        <v>-279.78933067399487</v>
      </c>
      <c r="M206" s="188">
        <f t="shared" si="48"/>
        <v>-22.975155128729455</v>
      </c>
      <c r="N206" s="189">
        <f t="shared" si="49"/>
        <v>-302.76448580272432</v>
      </c>
      <c r="O206" s="188">
        <v>0</v>
      </c>
      <c r="P206" s="188">
        <v>0</v>
      </c>
      <c r="Q206" s="188">
        <v>0</v>
      </c>
      <c r="R206" s="189">
        <f t="shared" si="50"/>
        <v>-302.76448580272432</v>
      </c>
    </row>
    <row r="207" spans="1:18" x14ac:dyDescent="0.25">
      <c r="A207" s="146">
        <v>8</v>
      </c>
      <c r="B207" s="181">
        <f t="shared" si="45"/>
        <v>45139</v>
      </c>
      <c r="C207" s="201">
        <f t="shared" si="58"/>
        <v>45174</v>
      </c>
      <c r="D207" s="201">
        <f t="shared" si="58"/>
        <v>45194</v>
      </c>
      <c r="E207" s="52" t="s">
        <v>17</v>
      </c>
      <c r="F207" s="146">
        <v>9</v>
      </c>
      <c r="G207" s="183">
        <v>109</v>
      </c>
      <c r="H207" s="184">
        <f t="shared" si="46"/>
        <v>11.115245126635072</v>
      </c>
      <c r="I207" s="184">
        <f t="shared" si="57"/>
        <v>8.5717057568714825</v>
      </c>
      <c r="J207" s="185">
        <f t="shared" si="47"/>
        <v>934.31592749899164</v>
      </c>
      <c r="K207" s="192">
        <f t="shared" si="60"/>
        <v>1211.5617188032229</v>
      </c>
      <c r="L207" s="191">
        <f t="shared" si="61"/>
        <v>-277.24579130423126</v>
      </c>
      <c r="M207" s="188">
        <f t="shared" si="48"/>
        <v>-22.766290082104639</v>
      </c>
      <c r="N207" s="189">
        <f t="shared" si="49"/>
        <v>-300.01208138633592</v>
      </c>
      <c r="O207" s="188">
        <v>0</v>
      </c>
      <c r="P207" s="188">
        <v>0</v>
      </c>
      <c r="Q207" s="188">
        <v>0</v>
      </c>
      <c r="R207" s="189">
        <f t="shared" si="50"/>
        <v>-300.01208138633592</v>
      </c>
    </row>
    <row r="208" spans="1:18" x14ac:dyDescent="0.25">
      <c r="A208" s="146">
        <v>9</v>
      </c>
      <c r="B208" s="181">
        <f t="shared" si="45"/>
        <v>45170</v>
      </c>
      <c r="C208" s="201">
        <f t="shared" si="58"/>
        <v>45203</v>
      </c>
      <c r="D208" s="201">
        <f t="shared" si="58"/>
        <v>45223</v>
      </c>
      <c r="E208" s="52" t="s">
        <v>17</v>
      </c>
      <c r="F208" s="146">
        <v>9</v>
      </c>
      <c r="G208" s="183">
        <v>112</v>
      </c>
      <c r="H208" s="184">
        <f t="shared" si="46"/>
        <v>11.115245126635072</v>
      </c>
      <c r="I208" s="184">
        <f t="shared" si="57"/>
        <v>8.5717057568714825</v>
      </c>
      <c r="J208" s="185">
        <f t="shared" si="47"/>
        <v>960.03104476960607</v>
      </c>
      <c r="K208" s="192">
        <f t="shared" si="60"/>
        <v>1244.907454183128</v>
      </c>
      <c r="L208" s="191">
        <f t="shared" si="61"/>
        <v>-284.87640941352197</v>
      </c>
      <c r="M208" s="188">
        <f t="shared" si="48"/>
        <v>-23.392885221979078</v>
      </c>
      <c r="N208" s="189">
        <f t="shared" si="49"/>
        <v>-308.26929463550107</v>
      </c>
      <c r="O208" s="188">
        <v>0</v>
      </c>
      <c r="P208" s="188">
        <v>0</v>
      </c>
      <c r="Q208" s="188">
        <v>0</v>
      </c>
      <c r="R208" s="189">
        <f t="shared" si="50"/>
        <v>-308.26929463550107</v>
      </c>
    </row>
    <row r="209" spans="1:18" x14ac:dyDescent="0.25">
      <c r="A209" s="110">
        <v>10</v>
      </c>
      <c r="B209" s="181">
        <f t="shared" si="45"/>
        <v>45200</v>
      </c>
      <c r="C209" s="201">
        <f t="shared" si="58"/>
        <v>45233</v>
      </c>
      <c r="D209" s="201">
        <f t="shared" si="58"/>
        <v>45254</v>
      </c>
      <c r="E209" s="52" t="s">
        <v>17</v>
      </c>
      <c r="F209" s="146">
        <v>9</v>
      </c>
      <c r="G209" s="183">
        <v>107</v>
      </c>
      <c r="H209" s="184">
        <f t="shared" si="46"/>
        <v>11.115245126635072</v>
      </c>
      <c r="I209" s="184">
        <f t="shared" si="57"/>
        <v>8.5717057568714825</v>
      </c>
      <c r="J209" s="185">
        <f t="shared" si="47"/>
        <v>917.17251598524865</v>
      </c>
      <c r="K209" s="192">
        <f t="shared" si="60"/>
        <v>1189.3312285499528</v>
      </c>
      <c r="L209" s="191">
        <f t="shared" si="61"/>
        <v>-272.15871256470416</v>
      </c>
      <c r="M209" s="188">
        <f t="shared" si="48"/>
        <v>-22.348559988855012</v>
      </c>
      <c r="N209" s="189">
        <f t="shared" si="49"/>
        <v>-294.50727255355918</v>
      </c>
      <c r="O209" s="188">
        <v>0</v>
      </c>
      <c r="P209" s="188">
        <v>0</v>
      </c>
      <c r="Q209" s="188">
        <v>0</v>
      </c>
      <c r="R209" s="189">
        <f t="shared" si="50"/>
        <v>-294.50727255355918</v>
      </c>
    </row>
    <row r="210" spans="1:18" x14ac:dyDescent="0.25">
      <c r="A210" s="146">
        <v>11</v>
      </c>
      <c r="B210" s="181">
        <f t="shared" si="45"/>
        <v>45231</v>
      </c>
      <c r="C210" s="201">
        <f t="shared" si="58"/>
        <v>45266</v>
      </c>
      <c r="D210" s="201">
        <f t="shared" si="58"/>
        <v>45285</v>
      </c>
      <c r="E210" s="52" t="s">
        <v>17</v>
      </c>
      <c r="F210" s="146">
        <v>9</v>
      </c>
      <c r="G210" s="183">
        <v>104</v>
      </c>
      <c r="H210" s="184">
        <f t="shared" si="46"/>
        <v>11.115245126635072</v>
      </c>
      <c r="I210" s="184">
        <f t="shared" si="57"/>
        <v>8.5717057568714825</v>
      </c>
      <c r="J210" s="185">
        <f t="shared" si="47"/>
        <v>891.45739871463422</v>
      </c>
      <c r="K210" s="192">
        <f>+$G210*H210</f>
        <v>1155.9854931700474</v>
      </c>
      <c r="L210" s="191">
        <f t="shared" si="61"/>
        <v>-264.52809445541322</v>
      </c>
      <c r="M210" s="188">
        <f t="shared" si="48"/>
        <v>-21.721964848980573</v>
      </c>
      <c r="N210" s="189">
        <f t="shared" si="49"/>
        <v>-286.2500593043938</v>
      </c>
      <c r="O210" s="188">
        <v>0</v>
      </c>
      <c r="P210" s="188">
        <v>0</v>
      </c>
      <c r="Q210" s="188">
        <v>0</v>
      </c>
      <c r="R210" s="189">
        <f t="shared" si="50"/>
        <v>-286.2500593043938</v>
      </c>
    </row>
    <row r="211" spans="1:18" s="205" customFormat="1" x14ac:dyDescent="0.25">
      <c r="A211" s="146">
        <v>12</v>
      </c>
      <c r="B211" s="203">
        <f t="shared" si="45"/>
        <v>45261</v>
      </c>
      <c r="C211" s="206">
        <f t="shared" si="58"/>
        <v>45294</v>
      </c>
      <c r="D211" s="206">
        <f t="shared" si="58"/>
        <v>45315</v>
      </c>
      <c r="E211" s="204" t="s">
        <v>17</v>
      </c>
      <c r="F211" s="157">
        <v>9</v>
      </c>
      <c r="G211" s="183">
        <v>101</v>
      </c>
      <c r="H211" s="193">
        <f t="shared" si="46"/>
        <v>11.115245126635072</v>
      </c>
      <c r="I211" s="193">
        <f t="shared" si="57"/>
        <v>8.5717057568714825</v>
      </c>
      <c r="J211" s="194">
        <f t="shared" si="47"/>
        <v>865.74228144401968</v>
      </c>
      <c r="K211" s="195">
        <f>+$G211*H211</f>
        <v>1122.6397577901423</v>
      </c>
      <c r="L211" s="196">
        <f t="shared" si="61"/>
        <v>-256.89747634612263</v>
      </c>
      <c r="M211" s="194">
        <f t="shared" si="48"/>
        <v>-21.095369709106134</v>
      </c>
      <c r="N211" s="189">
        <f t="shared" si="49"/>
        <v>-277.99284605522877</v>
      </c>
      <c r="O211" s="188">
        <v>0</v>
      </c>
      <c r="P211" s="188">
        <v>0</v>
      </c>
      <c r="Q211" s="188">
        <v>0</v>
      </c>
      <c r="R211" s="189">
        <f t="shared" si="50"/>
        <v>-277.99284605522877</v>
      </c>
    </row>
    <row r="212" spans="1:18" x14ac:dyDescent="0.25">
      <c r="G212" s="211">
        <f>SUM(G20:G211)</f>
        <v>102178</v>
      </c>
      <c r="H212" s="49"/>
      <c r="I212" s="49"/>
      <c r="J212" s="49">
        <f>SUM(J20:J211)</f>
        <v>875839.7508256142</v>
      </c>
      <c r="K212" s="49">
        <f>SUM(K20:K211)</f>
        <v>1135733.5165493183</v>
      </c>
      <c r="L212" s="49">
        <f>SUM(L20:L211)</f>
        <v>-259893.76572370401</v>
      </c>
      <c r="M212" s="49">
        <f>SUM(M20:M211)</f>
        <v>-21341.412734030171</v>
      </c>
      <c r="N212" s="49"/>
      <c r="O212" s="49"/>
      <c r="P212" s="49">
        <f>SUM(P20:P211)</f>
        <v>0</v>
      </c>
      <c r="Q212" s="49"/>
      <c r="R212" s="212">
        <f>SUM(R20:R211)</f>
        <v>-281235.17845773429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ToxMi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1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7814C9F-6145-417D-BF91-17C37C0651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AD6450D-CC59-4B79-A6A7-3115AA4CB1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2023-05-24T20:02:35Z</cp:lastPrinted>
  <dcterms:created xsi:type="dcterms:W3CDTF">2009-09-04T18:19:13Z</dcterms:created>
  <dcterms:modified xsi:type="dcterms:W3CDTF">2024-05-24T14:07:35Z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36af487e-f446-4740-a62b-40554c497e05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{67814C9F-6145-417D-BF91-17C37C065136}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